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DG_PersHand\C.S.N.P.H.-N.H.R.G\CSNPH\Avis\2021\2021-17 Prix du travail 2\Simulations\"/>
    </mc:Choice>
  </mc:AlternateContent>
  <xr:revisionPtr revIDLastSave="0" documentId="8_{29FEE4DE-DF15-4EC6-83A0-7D8AEA8A79FC}" xr6:coauthVersionLast="47" xr6:coauthVersionMax="47" xr10:uidLastSave="{00000000-0000-0000-0000-000000000000}"/>
  <workbookProtection lockStructure="1"/>
  <bookViews>
    <workbookView xWindow="20" yWindow="20" windowWidth="19180" windowHeight="10180"/>
  </bookViews>
  <sheets>
    <sheet name="berekening" sheetId="2" r:id="rId1"/>
    <sheet name="ink_partner" sheetId="22" state="hidden" r:id="rId2"/>
    <sheet name="bedr &amp; vrijst overzicht" sheetId="6" state="hidden" r:id="rId3"/>
    <sheet name="Blad1 (2)" sheetId="12" state="hidden" r:id="rId4"/>
    <sheet name="2x cat C" sheetId="20" state="hidden" r:id="rId5"/>
    <sheet name="vrijst arbeid ivt 7_06" sheetId="19" state="hidden" r:id="rId6"/>
    <sheet name="barema onderhoud" sheetId="8" state="hidden" r:id="rId7"/>
    <sheet name="bedragen op" sheetId="7" state="hidden" r:id="rId8"/>
    <sheet name="model IVT" sheetId="13" state="hidden" r:id="rId9"/>
    <sheet name="model IT cat 1&amp;2 (2)" sheetId="17" state="hidden" r:id="rId10"/>
    <sheet name="model IT cat 3,4&amp;5 (2)" sheetId="18" state="hidden" r:id="rId11"/>
    <sheet name="bedr &amp; vrijst overzicht (2)" sheetId="10" state="hidden" r:id="rId12"/>
    <sheet name="tabel baremas" sheetId="5" state="hidden" r:id="rId13"/>
    <sheet name="Blad1" sheetId="11" state="hidden" r:id="rId14"/>
    <sheet name="IT inst" sheetId="21" state="hidden" r:id="rId15"/>
    <sheet name="bedrag en vrijstellingen" sheetId="1" state="hidden" r:id="rId16"/>
  </sheets>
  <definedNames>
    <definedName name="_xlnm.Print_Area" localSheetId="0">berekening!$A$1:$M$41</definedName>
    <definedName name="_xlnm.Print_Area" localSheetId="9">'model IT cat 1&amp;2 (2)'!$A$1:$J$51</definedName>
    <definedName name="_xlnm.Print_Area" localSheetId="10">'model IT cat 3,4&amp;5 (2)'!$A$1:$I$53</definedName>
    <definedName name="_xlnm.Print_Area" localSheetId="8">'model IVT'!$A$1:$I$30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8" l="1"/>
  <c r="R22" i="8"/>
  <c r="D22" i="8"/>
  <c r="S22" i="8"/>
  <c r="E22" i="8"/>
  <c r="F22" i="8"/>
  <c r="G22" i="8"/>
  <c r="H22" i="8"/>
  <c r="I22" i="8"/>
  <c r="J22" i="8"/>
  <c r="K22" i="8"/>
  <c r="L22" i="8"/>
  <c r="M22" i="8"/>
  <c r="N22" i="8"/>
  <c r="O22" i="8"/>
  <c r="P22" i="8"/>
  <c r="T22" i="8"/>
  <c r="U22" i="8"/>
  <c r="B22" i="8"/>
  <c r="Q22" i="8"/>
  <c r="J18" i="8"/>
  <c r="N16" i="8"/>
  <c r="M16" i="8"/>
  <c r="J15" i="8"/>
  <c r="A1" i="21"/>
  <c r="B1" i="21"/>
  <c r="C1" i="21"/>
  <c r="E5" i="22"/>
  <c r="E2" i="22"/>
  <c r="E7" i="22"/>
  <c r="C1" i="7"/>
  <c r="C9" i="7"/>
  <c r="J15" i="2"/>
  <c r="E6" i="22"/>
  <c r="U13" i="8"/>
  <c r="T13" i="8"/>
  <c r="S13" i="8"/>
  <c r="R13" i="8"/>
  <c r="Q13" i="8"/>
  <c r="P13" i="8"/>
  <c r="O13" i="8"/>
  <c r="N13" i="8"/>
  <c r="M13" i="8"/>
  <c r="L13" i="8"/>
  <c r="K13" i="8"/>
  <c r="J13" i="8"/>
  <c r="F13" i="8"/>
  <c r="G13" i="8"/>
  <c r="H13" i="8"/>
  <c r="I13" i="8"/>
  <c r="E13" i="8"/>
  <c r="C13" i="8"/>
  <c r="D13" i="8"/>
  <c r="B13" i="8"/>
  <c r="J25" i="2"/>
  <c r="L41" i="2"/>
  <c r="G41" i="2"/>
  <c r="J10" i="8"/>
  <c r="D29" i="2"/>
  <c r="C19" i="2"/>
  <c r="B3" i="19"/>
  <c r="B2" i="19"/>
  <c r="D2" i="19"/>
  <c r="A20" i="2"/>
  <c r="C25" i="2"/>
  <c r="C15" i="2"/>
  <c r="B2" i="20"/>
  <c r="B1" i="20"/>
  <c r="B8" i="20"/>
  <c r="B30" i="12"/>
  <c r="B18" i="20"/>
  <c r="E16" i="19"/>
  <c r="Q8" i="8"/>
  <c r="R8" i="8"/>
  <c r="S8" i="8"/>
  <c r="O8" i="8"/>
  <c r="P8" i="8"/>
  <c r="H8" i="8"/>
  <c r="I8" i="8"/>
  <c r="J8" i="8"/>
  <c r="K8" i="8"/>
  <c r="L8" i="8"/>
  <c r="M8" i="8"/>
  <c r="N8" i="8"/>
  <c r="C8" i="8"/>
  <c r="D8" i="8"/>
  <c r="E8" i="8"/>
  <c r="F8" i="8"/>
  <c r="G8" i="8"/>
  <c r="B8" i="8"/>
  <c r="X2" i="2"/>
  <c r="X1" i="2"/>
  <c r="X3" i="2"/>
  <c r="J5" i="8"/>
  <c r="H40" i="6"/>
  <c r="C1" i="6"/>
  <c r="C1" i="10"/>
  <c r="D1" i="1"/>
  <c r="J20" i="2"/>
  <c r="K37" i="2"/>
  <c r="J30" i="2"/>
  <c r="G20" i="2"/>
  <c r="G15" i="2"/>
  <c r="I15" i="17"/>
  <c r="F31" i="17"/>
  <c r="G13" i="17"/>
  <c r="C21" i="17"/>
  <c r="H8" i="17"/>
  <c r="F40" i="17"/>
  <c r="C22" i="17"/>
  <c r="I9" i="18"/>
  <c r="G13" i="18"/>
  <c r="F39" i="18"/>
  <c r="G42" i="18"/>
  <c r="F31" i="18"/>
  <c r="F32" i="18"/>
  <c r="C22" i="18"/>
  <c r="F41" i="18"/>
  <c r="G12" i="13"/>
  <c r="H13" i="13"/>
  <c r="C19" i="5"/>
  <c r="C18" i="5"/>
  <c r="C17" i="5"/>
  <c r="D1" i="21"/>
  <c r="D2" i="2"/>
  <c r="F34" i="18"/>
  <c r="G34" i="18"/>
  <c r="I43" i="18"/>
  <c r="F24" i="18"/>
  <c r="G25" i="18"/>
  <c r="H26" i="18"/>
  <c r="H28" i="18"/>
  <c r="C21" i="18"/>
  <c r="G14" i="18"/>
  <c r="I15" i="18"/>
  <c r="I47" i="18"/>
  <c r="H51" i="18"/>
  <c r="H52" i="18"/>
  <c r="C18" i="7"/>
  <c r="I35" i="6"/>
  <c r="AH2" i="2"/>
  <c r="C14" i="7"/>
  <c r="I21" i="6"/>
  <c r="C16" i="7"/>
  <c r="U4" i="2"/>
  <c r="C10" i="7"/>
  <c r="H7" i="1"/>
  <c r="C16" i="2"/>
  <c r="D17" i="2"/>
  <c r="G14" i="17"/>
  <c r="F38" i="17"/>
  <c r="G41" i="17"/>
  <c r="F24" i="17"/>
  <c r="G25" i="17"/>
  <c r="H26" i="17"/>
  <c r="H28" i="17"/>
  <c r="F32" i="17"/>
  <c r="G33" i="17"/>
  <c r="I42" i="17"/>
  <c r="I46" i="17"/>
  <c r="H50" i="17"/>
  <c r="H51" i="17"/>
  <c r="C21" i="7"/>
  <c r="D21" i="7"/>
  <c r="C12" i="7"/>
  <c r="D12" i="7"/>
  <c r="C19" i="7"/>
  <c r="I36" i="6"/>
  <c r="C6" i="7"/>
  <c r="I6" i="6"/>
  <c r="C8" i="7"/>
  <c r="I8" i="6"/>
  <c r="C13" i="7"/>
  <c r="J17" i="10"/>
  <c r="G5" i="22"/>
  <c r="I18" i="2"/>
  <c r="G9" i="22"/>
  <c r="J32" i="2"/>
  <c r="G10" i="22"/>
  <c r="K32" i="2"/>
  <c r="G6" i="22"/>
  <c r="J18" i="2"/>
  <c r="G8" i="22"/>
  <c r="G32" i="2"/>
  <c r="I9" i="6"/>
  <c r="D9" i="7"/>
  <c r="H6" i="1"/>
  <c r="I9" i="10"/>
  <c r="C2" i="7"/>
  <c r="D5" i="6"/>
  <c r="C20" i="7"/>
  <c r="C6" i="19"/>
  <c r="F6" i="19"/>
  <c r="G6" i="19"/>
  <c r="C17" i="7"/>
  <c r="D17" i="7"/>
  <c r="C15" i="7"/>
  <c r="K25" i="10"/>
  <c r="K27" i="10"/>
  <c r="C5" i="7"/>
  <c r="H2" i="1"/>
  <c r="C11" i="7"/>
  <c r="B22" i="10"/>
  <c r="C3" i="7"/>
  <c r="D6" i="6"/>
  <c r="J26" i="6"/>
  <c r="C7" i="7"/>
  <c r="D7" i="7"/>
  <c r="C4" i="7"/>
  <c r="H26" i="13"/>
  <c r="C7" i="19"/>
  <c r="F17" i="19"/>
  <c r="D16" i="7"/>
  <c r="H17" i="1"/>
  <c r="H11" i="1"/>
  <c r="I5" i="10"/>
  <c r="H14" i="1"/>
  <c r="J21" i="2"/>
  <c r="U1" i="2"/>
  <c r="D4" i="7"/>
  <c r="I21" i="10"/>
  <c r="D10" i="7"/>
  <c r="D19" i="7"/>
  <c r="I18" i="1"/>
  <c r="J16" i="10"/>
  <c r="K25" i="6"/>
  <c r="K27" i="6"/>
  <c r="J28" i="6"/>
  <c r="E13" i="2"/>
  <c r="D8" i="7"/>
  <c r="D5" i="7"/>
  <c r="J26" i="10"/>
  <c r="J28" i="10"/>
  <c r="H5" i="1"/>
  <c r="D4" i="1"/>
  <c r="I40" i="10"/>
  <c r="D2" i="1"/>
  <c r="D7" i="6"/>
  <c r="D18" i="7"/>
  <c r="H8" i="1"/>
  <c r="A26" i="2"/>
  <c r="I8" i="10"/>
  <c r="Q2" i="2"/>
  <c r="D20" i="7"/>
  <c r="I34" i="6"/>
  <c r="H3" i="1"/>
  <c r="G7" i="13"/>
  <c r="H8" i="13"/>
  <c r="U2" i="2"/>
  <c r="S11" i="2"/>
  <c r="A16" i="2"/>
  <c r="D6" i="10"/>
  <c r="I6" i="10"/>
  <c r="J16" i="6"/>
  <c r="D3" i="7"/>
  <c r="I40" i="6"/>
  <c r="B7" i="19"/>
  <c r="E17" i="19"/>
  <c r="E6" i="19"/>
  <c r="F7" i="19"/>
  <c r="G7" i="19"/>
  <c r="H4" i="1"/>
  <c r="D14" i="7"/>
  <c r="B22" i="6"/>
  <c r="T19" i="2"/>
  <c r="L13" i="2"/>
  <c r="J17" i="6"/>
  <c r="D2" i="7"/>
  <c r="B16" i="6"/>
  <c r="D15" i="7"/>
  <c r="I5" i="6"/>
  <c r="D11" i="7"/>
  <c r="H12" i="1"/>
  <c r="H18" i="1"/>
  <c r="D13" i="7"/>
  <c r="S15" i="2"/>
  <c r="I7" i="10"/>
  <c r="B7" i="13"/>
  <c r="F2" i="22"/>
  <c r="I7" i="6"/>
  <c r="G17" i="13"/>
  <c r="H18" i="13"/>
  <c r="D6" i="7"/>
  <c r="F16" i="19"/>
  <c r="G19" i="19"/>
  <c r="A21" i="2"/>
  <c r="B16" i="10"/>
  <c r="B17" i="13"/>
  <c r="B3" i="20"/>
  <c r="D7" i="10"/>
  <c r="I42" i="10"/>
  <c r="D3" i="1"/>
  <c r="I41" i="10"/>
  <c r="D5" i="10"/>
  <c r="J22" i="2"/>
  <c r="K23" i="2"/>
  <c r="G21" i="2"/>
  <c r="C26" i="2"/>
  <c r="D27" i="2"/>
  <c r="H23" i="13"/>
  <c r="H27" i="13"/>
  <c r="H28" i="13"/>
  <c r="G17" i="19"/>
  <c r="G20" i="19"/>
  <c r="B20" i="6"/>
  <c r="F8" i="19"/>
  <c r="B12" i="19"/>
  <c r="C20" i="2"/>
  <c r="D23" i="2"/>
  <c r="D19" i="1"/>
  <c r="E20" i="1"/>
  <c r="E7" i="19"/>
  <c r="E8" i="19"/>
  <c r="G2" i="22"/>
  <c r="G16" i="2"/>
  <c r="G3" i="22"/>
  <c r="U5" i="2"/>
  <c r="U7" i="2"/>
  <c r="U8" i="2"/>
  <c r="J26" i="2"/>
  <c r="U6" i="2"/>
  <c r="G26" i="2"/>
  <c r="S12" i="2"/>
  <c r="B19" i="6"/>
  <c r="G16" i="19"/>
  <c r="E31" i="2"/>
  <c r="B4" i="20"/>
  <c r="B7" i="20"/>
  <c r="B9" i="20"/>
  <c r="B11" i="20"/>
  <c r="A22" i="2"/>
  <c r="J27" i="2"/>
  <c r="J31" i="2"/>
  <c r="J33" i="2"/>
  <c r="S16" i="2"/>
  <c r="H34" i="2"/>
  <c r="T20" i="2"/>
  <c r="T21" i="2"/>
  <c r="T22" i="2"/>
  <c r="G4" i="22"/>
  <c r="J16" i="2"/>
  <c r="E32" i="2"/>
  <c r="E35" i="2"/>
  <c r="A34" i="2"/>
  <c r="A33" i="2"/>
  <c r="D32" i="2"/>
  <c r="A35" i="2"/>
  <c r="J17" i="2"/>
  <c r="G7" i="22"/>
  <c r="K18" i="2"/>
  <c r="J34" i="2"/>
  <c r="T24" i="2"/>
  <c r="T25" i="2"/>
  <c r="K35" i="2"/>
  <c r="Q27" i="2"/>
  <c r="L39" i="2"/>
  <c r="L40" i="2"/>
  <c r="A41" i="2"/>
  <c r="C41" i="2"/>
  <c r="K27" i="2"/>
  <c r="K31" i="2"/>
</calcChain>
</file>

<file path=xl/comments1.xml><?xml version="1.0" encoding="utf-8"?>
<comments xmlns="http://schemas.openxmlformats.org/spreadsheetml/2006/main">
  <authors>
    <author>REYSERHOVE Geert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REYSERHOVE Geert:</t>
        </r>
        <r>
          <rPr>
            <sz val="8"/>
            <color indexed="81"/>
            <rFont val="Tahoma"/>
            <family val="2"/>
          </rPr>
          <t xml:space="preserve">
Ingangsdatum invullen
op het werkblad 
berekening.
</t>
        </r>
      </text>
    </comment>
  </commentList>
</comments>
</file>

<file path=xl/sharedStrings.xml><?xml version="1.0" encoding="utf-8"?>
<sst xmlns="http://schemas.openxmlformats.org/spreadsheetml/2006/main" count="524" uniqueCount="260">
  <si>
    <t>Bedragen</t>
  </si>
  <si>
    <t>IVT</t>
  </si>
  <si>
    <t>A</t>
  </si>
  <si>
    <t>B</t>
  </si>
  <si>
    <t>C</t>
  </si>
  <si>
    <t>IT</t>
  </si>
  <si>
    <t>Vrijstellingen</t>
  </si>
  <si>
    <t>inkomsten leden huishouden</t>
  </si>
  <si>
    <t>algemeen</t>
  </si>
  <si>
    <t>indien cat 3,4 of 5</t>
  </si>
  <si>
    <t>indien cat 1 of 2</t>
  </si>
  <si>
    <t>+ helft van het overschot</t>
  </si>
  <si>
    <t>inkomsten uit arbeid</t>
  </si>
  <si>
    <t>vervangingsinkomsten</t>
  </si>
  <si>
    <t>maximum</t>
  </si>
  <si>
    <t>indien arbeidsvrijstelling ≤</t>
  </si>
  <si>
    <t>andere</t>
  </si>
  <si>
    <t>vrijgestelde vervangingsinkomen</t>
  </si>
  <si>
    <t>→</t>
  </si>
  <si>
    <t xml:space="preserve"> andere inkomsten dan het arbeidsinkomen en het</t>
  </si>
  <si>
    <t>categorievrijstelling-(arbeidsvrijstelling+vrijstelling vervangingsinkomen)</t>
  </si>
  <si>
    <t>categorie IT</t>
  </si>
  <si>
    <t>arbeidsinkomsten</t>
  </si>
  <si>
    <t>andere inkomsten</t>
  </si>
  <si>
    <t>Berekening van de tegemoetkomingen:</t>
  </si>
  <si>
    <t>Basisbedrag</t>
  </si>
  <si>
    <t>vrijstelling</t>
  </si>
  <si>
    <t xml:space="preserve">arbeidsinkomsten </t>
  </si>
  <si>
    <t>rest</t>
  </si>
  <si>
    <t>af te trekken</t>
  </si>
  <si>
    <t>Tegemoetkoming</t>
  </si>
  <si>
    <t>totaal af te trekken</t>
  </si>
  <si>
    <t>vrijstelling partner</t>
  </si>
  <si>
    <t>saldo</t>
  </si>
  <si>
    <t>af te trekken (saldo /2)</t>
  </si>
  <si>
    <t>arbeidsvrijstelling</t>
  </si>
  <si>
    <t>referentiebedrag</t>
  </si>
  <si>
    <t>maximum vrijstelling</t>
  </si>
  <si>
    <t>arbeidsvrij &gt; ref bedrag</t>
  </si>
  <si>
    <t>arbvrijst &lt; ref bedrag</t>
  </si>
  <si>
    <t>af te trekken van vrijstell</t>
  </si>
  <si>
    <t>totaal</t>
  </si>
  <si>
    <t>categorievrijstelling</t>
  </si>
  <si>
    <t>te verminderen met</t>
  </si>
  <si>
    <t>|</t>
  </si>
  <si>
    <t>vrijstelling IVT</t>
  </si>
  <si>
    <t>partner(s)</t>
  </si>
  <si>
    <t>partner cat 1&amp;2</t>
  </si>
  <si>
    <t>partner cat 3,4,5</t>
  </si>
  <si>
    <t>Ink arbeid</t>
  </si>
  <si>
    <t>plafond vervangingsink</t>
  </si>
  <si>
    <t>datum</t>
  </si>
  <si>
    <t>vervangins inkomen</t>
  </si>
  <si>
    <t>vrijstelling 
IT</t>
  </si>
  <si>
    <t>Ingangsdatum:</t>
  </si>
  <si>
    <t>ingangsdatum</t>
  </si>
  <si>
    <t>Ingangsdatum</t>
  </si>
  <si>
    <t>leden van het huishouden:</t>
  </si>
  <si>
    <t>arbeidsinkomen gehandicapte:</t>
  </si>
  <si>
    <t>andere inkomsten gehandicapte</t>
  </si>
  <si>
    <t>+ 1/2 van het overschot</t>
  </si>
  <si>
    <t>vervangingsinkomen van de gehandicapte</t>
  </si>
  <si>
    <t>- (arbeidsvrijstelling + vrijstelling vervangingsinkomen)</t>
  </si>
  <si>
    <t>(1/2 van categorie A)</t>
  </si>
  <si>
    <t>Bedragen van de tegemoetkomingen</t>
  </si>
  <si>
    <t>van het arbeidsinkomen</t>
  </si>
  <si>
    <t>Andere Inkomen:</t>
  </si>
  <si>
    <t>1) Categorie C ( IT cat 3,4,5),B en A:</t>
  </si>
  <si>
    <t>Categorievrijstelling op het niet vrijgestelde vervangingsinkomen en de andere belastbare inkomsten van de PMH</t>
  </si>
  <si>
    <t>categorievrijstelling:</t>
  </si>
  <si>
    <t>2) Categorie C ( IT cat 1 of 2)</t>
  </si>
  <si>
    <t>Categorievrijstelling op het niet vrijgestelde inkomen van de partner en het niet vrijgestelde vervangingsinkomen en de andere belastbare inkomsten van de PMH</t>
  </si>
  <si>
    <t>inkomsten partner</t>
  </si>
  <si>
    <t>niet vrijgestelde vervangingsinkomsten</t>
  </si>
  <si>
    <t>per jaar</t>
  </si>
  <si>
    <t>per maand</t>
  </si>
  <si>
    <t>Catvrijst IT</t>
  </si>
  <si>
    <t>cat A</t>
  </si>
  <si>
    <t>cat B</t>
  </si>
  <si>
    <t>cat C</t>
  </si>
  <si>
    <t>partner</t>
  </si>
  <si>
    <t>Barema IVT</t>
  </si>
  <si>
    <t>Barema IT</t>
  </si>
  <si>
    <t>Datum</t>
  </si>
  <si>
    <t>vrijstelling IT</t>
  </si>
  <si>
    <t>Categorie gezin</t>
  </si>
  <si>
    <t>arbeid</t>
  </si>
  <si>
    <t xml:space="preserve">1) arbeidsvrijstelling niet meer dan  </t>
  </si>
  <si>
    <t xml:space="preserve">2) arbeidsvrijstelling is hoger dan </t>
  </si>
  <si>
    <t>Cat 3, 4 &amp; 5</t>
  </si>
  <si>
    <t>Cat 1 &amp; 2</t>
  </si>
  <si>
    <t>de bedragen op de voorgestelde index</t>
  </si>
  <si>
    <t>datum van het bedrag komt vanuit het</t>
  </si>
  <si>
    <t>werkblad berekening</t>
  </si>
  <si>
    <t>doel van dit werkblad:</t>
  </si>
  <si>
    <t>Indien categorie C (IT cat 3,4 &amp; 5), Categorie B, categorie A:</t>
  </si>
  <si>
    <t>Indien categorie C ( IT cat 1 of 2):</t>
  </si>
  <si>
    <t>+ het niet vrijgestelde vervangingsinkomen</t>
  </si>
  <si>
    <t>+ andere belastbare inkomsten van de PMH</t>
  </si>
  <si>
    <t>Categorievrijstelling op som van:</t>
  </si>
  <si>
    <t>+ het niet vrijgestelde inkomen van de partner</t>
  </si>
  <si>
    <t>Categorievrijstelling:</t>
  </si>
  <si>
    <t>Categorievrijstelling</t>
  </si>
  <si>
    <t>totaal andere inkomsten</t>
  </si>
  <si>
    <t>arbeidsvrijstelling+vrijstell verv ink</t>
  </si>
  <si>
    <t>aan te rekenen andere inkomsten</t>
  </si>
  <si>
    <t>Categorie IVT</t>
  </si>
  <si>
    <t>Categorie IT</t>
  </si>
  <si>
    <t>Ingangsdatum vrijstellingen</t>
  </si>
  <si>
    <t>Inkomsten PMH</t>
  </si>
  <si>
    <t>Arbeidsinkomsten</t>
  </si>
  <si>
    <t>Vervangingsinkomsten</t>
  </si>
  <si>
    <t>Andere</t>
  </si>
  <si>
    <t>Inkomsten Partner</t>
  </si>
  <si>
    <t>Niet cumuleerbare inkomsten PMH:</t>
  </si>
  <si>
    <t>Berekening IVT</t>
  </si>
  <si>
    <t>Inkomsten partner:</t>
  </si>
  <si>
    <t>Inkomsten:</t>
  </si>
  <si>
    <t>Vrijstelling (cat A/2) max: 225588,89</t>
  </si>
  <si>
    <t xml:space="preserve">Arbeidsinkomsten </t>
  </si>
  <si>
    <t>Vrijstelling (10%)</t>
  </si>
  <si>
    <t>Vrijstelling (max        )</t>
  </si>
  <si>
    <t>Af te trekken:</t>
  </si>
  <si>
    <t>Berekening IT</t>
  </si>
  <si>
    <t>Andere inkomsten</t>
  </si>
  <si>
    <t>Vrijstelling</t>
  </si>
  <si>
    <t>Arbeidsinkomsten PMH</t>
  </si>
  <si>
    <t>Andere Inkomsten PMH</t>
  </si>
  <si>
    <t>(A)</t>
  </si>
  <si>
    <t>(B)</t>
  </si>
  <si>
    <t>(C)</t>
  </si>
  <si>
    <t>-</t>
  </si>
  <si>
    <t>Af te trekken (A)+(B)+(C)</t>
  </si>
  <si>
    <t>Partner</t>
  </si>
  <si>
    <t xml:space="preserve">Inkomsten </t>
  </si>
  <si>
    <t xml:space="preserve">Andere Inkomsten </t>
  </si>
  <si>
    <t xml:space="preserve">Vrijstelling </t>
  </si>
  <si>
    <t>(cat A/2 = max: 2256,20)</t>
  </si>
  <si>
    <t>Inkomsten</t>
  </si>
  <si>
    <t>Over te dragen</t>
  </si>
  <si>
    <t>PMH</t>
  </si>
  <si>
    <t>Ander inkomsten</t>
  </si>
  <si>
    <t>Niet cumuleerbaar</t>
  </si>
  <si>
    <t>niet-cumuleerbare inkomsten betrokkene IVT</t>
  </si>
  <si>
    <t>niet-cumuleerbare inkomsten betrokkene IT</t>
  </si>
  <si>
    <t xml:space="preserve">De bedragen zelf komen van het blad </t>
  </si>
  <si>
    <t>Barema</t>
  </si>
  <si>
    <t>niet cumuleerbare uitkeringen</t>
  </si>
  <si>
    <t>belastbare inkomsten PMH</t>
  </si>
  <si>
    <t xml:space="preserve">1) arbeidsinkomsten </t>
  </si>
  <si>
    <t xml:space="preserve">2) vervangingsinkomsten </t>
  </si>
  <si>
    <t>3) andere  inkomsten  dan 1) of 2)</t>
  </si>
  <si>
    <t>inkomsten 3)  PMH</t>
  </si>
  <si>
    <t>Tegemoetkoming IVT /IT</t>
  </si>
  <si>
    <t>&lt;-- wordt ingebracht op werkblad berekening</t>
  </si>
  <si>
    <t>niet vrijgesteld -&gt; over te dragen</t>
  </si>
  <si>
    <t>Af te trekken</t>
  </si>
  <si>
    <t>Inkomsten partner</t>
  </si>
  <si>
    <t>inkomsten</t>
  </si>
  <si>
    <t>vrijstelling (10%)</t>
  </si>
  <si>
    <t>Inkomsten PMH  behalve 
arbeidsinkomsten</t>
  </si>
  <si>
    <t>Totaal af te trekken:</t>
  </si>
  <si>
    <t>Tegemoetkoming:</t>
  </si>
  <si>
    <t>vrijstelling (maximum 17.701,00)</t>
  </si>
  <si>
    <t>maximumvrijstelling</t>
  </si>
  <si>
    <t>Resterende vrijstelling:</t>
  </si>
  <si>
    <t>Vrijstelling te verminderen met:</t>
  </si>
  <si>
    <t>Andere inkomen</t>
  </si>
  <si>
    <t>Aan te rekenen</t>
  </si>
  <si>
    <t>Totaal</t>
  </si>
  <si>
    <t>Arbeidsvrijstelling (maximum 17.701,71)</t>
  </si>
  <si>
    <t>Over te dragen naar andere inkomen</t>
  </si>
  <si>
    <t>aan te rekenen: (saldo/2)</t>
  </si>
  <si>
    <t>16.500,00 - 15.000,00</t>
  </si>
  <si>
    <t>vrijstelling (maximum1.600,00)</t>
  </si>
  <si>
    <t>Over te dragen naar andere inkomen:</t>
  </si>
  <si>
    <t xml:space="preserve">arbeidsvrijstelling </t>
  </si>
  <si>
    <t>+</t>
  </si>
  <si>
    <t>1)</t>
  </si>
  <si>
    <t>2)</t>
  </si>
  <si>
    <t>af te trekken (saldo/2):</t>
  </si>
  <si>
    <t>- resterende vrijstelling:</t>
  </si>
  <si>
    <t xml:space="preserve">- maximumbedrag: </t>
  </si>
  <si>
    <t>- te verminderen met:</t>
  </si>
  <si>
    <t>over te 
dragen</t>
  </si>
  <si>
    <t>Niet cumuleerbare inkomsten</t>
  </si>
  <si>
    <t>Rest</t>
  </si>
  <si>
    <t>andere inkomsten PMH</t>
  </si>
  <si>
    <t>Overgedragen vervangingsinkomsten</t>
  </si>
  <si>
    <t>Totaal over te dragen naar andere inkomen</t>
  </si>
  <si>
    <t>maximumbedrag</t>
  </si>
  <si>
    <t>inkomsten van de partner</t>
  </si>
  <si>
    <t>beide partners IVT categorie C?</t>
  </si>
  <si>
    <t>vrijstelling arbeid IVT</t>
  </si>
  <si>
    <t>inkomstengrenzen</t>
  </si>
  <si>
    <t>aanvang</t>
  </si>
  <si>
    <t>inkomen arbeid</t>
  </si>
  <si>
    <t>regel:</t>
  </si>
  <si>
    <t>van</t>
  </si>
  <si>
    <t>tot</t>
  </si>
  <si>
    <t>procent</t>
  </si>
  <si>
    <t>maximale vrijstelling</t>
  </si>
  <si>
    <t>vrijstelling:</t>
  </si>
  <si>
    <t xml:space="preserve">50% van </t>
  </si>
  <si>
    <t>25%  van</t>
  </si>
  <si>
    <t>2 x cat C?</t>
  </si>
  <si>
    <t>bedrag cat B:</t>
  </si>
  <si>
    <t>ivt groter dan cat B</t>
  </si>
  <si>
    <t>resultaat ivt</t>
  </si>
  <si>
    <t>recht ivt</t>
  </si>
  <si>
    <t>2 personen in het huishouden behoren tot categorie C</t>
  </si>
  <si>
    <t>het bedrag IVT wordt beperkt tot categorie B</t>
  </si>
  <si>
    <t>categorie C?</t>
  </si>
  <si>
    <t>categorie ivt = a, b of c</t>
  </si>
  <si>
    <t>cat C en 2xC en ivt &gt; B</t>
  </si>
  <si>
    <t>IVT (bedrag categorie B)</t>
  </si>
  <si>
    <t>deler</t>
  </si>
  <si>
    <t>vermenigvuldiger</t>
  </si>
  <si>
    <t>IT -1/3</t>
  </si>
  <si>
    <t>IT -28%</t>
  </si>
  <si>
    <t>tekst</t>
  </si>
  <si>
    <t>nee</t>
  </si>
  <si>
    <t xml:space="preserve">Met deze simulator kunt u het bedrag van de IVT/IT berekenen. </t>
  </si>
  <si>
    <t xml:space="preserve">om de gewenste berekening te maken. </t>
  </si>
  <si>
    <t xml:space="preserve">Het systeem houdt rekening met de verschillende indexeringen  </t>
  </si>
  <si>
    <t>(sinds 01/07/2004).</t>
  </si>
  <si>
    <t>&lt;7/2008</t>
  </si>
  <si>
    <t>1&amp;2</t>
  </si>
  <si>
    <t>3,4&amp;5</t>
  </si>
  <si>
    <t>&gt;=7/2008</t>
  </si>
  <si>
    <t>per</t>
  </si>
  <si>
    <t>catIT</t>
  </si>
  <si>
    <t>1,2,3,4,5</t>
  </si>
  <si>
    <t>g16</t>
  </si>
  <si>
    <t>vrijst</t>
  </si>
  <si>
    <t>j16</t>
  </si>
  <si>
    <t>tekst vrijstelling</t>
  </si>
  <si>
    <t>toe te passen vrijstelling</t>
  </si>
  <si>
    <t>inkomsten partner:</t>
  </si>
  <si>
    <t>verschil</t>
  </si>
  <si>
    <t>j17</t>
  </si>
  <si>
    <t>i18</t>
  </si>
  <si>
    <t>j18</t>
  </si>
  <si>
    <t>over te dragen</t>
  </si>
  <si>
    <t>k18</t>
  </si>
  <si>
    <t>of (A) of af te trekken bedrag</t>
  </si>
  <si>
    <t>g32</t>
  </si>
  <si>
    <t>test bin andere</t>
  </si>
  <si>
    <t>j32</t>
  </si>
  <si>
    <t>bedrag over te dragen</t>
  </si>
  <si>
    <t>k32</t>
  </si>
  <si>
    <t>(A)?</t>
  </si>
  <si>
    <t>af te trekken (saldo/2)</t>
  </si>
  <si>
    <t>rest -&gt; over te dragen</t>
  </si>
  <si>
    <t>niet vrijgestelde inkomen partner</t>
  </si>
  <si>
    <t>vrijstelling(max</t>
  </si>
  <si>
    <t>opmerking</t>
  </si>
  <si>
    <t>-&gt; cel</t>
  </si>
  <si>
    <t>gezinscategorie</t>
  </si>
  <si>
    <t xml:space="preserve">In de lichtblauw vakjes kunt u de gegevens invullen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</si>
</sst>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3" formatCode="_-* #,##0.00\ _€_-;\-* #,##0.00\ _€_-;_-* &quot;-&quot;??\ _€_-;_-@_-"/>
    <numFmt numFmtId="174" formatCode="_(&quot;€&quot;\ * #,##0.00_);_(&quot;€&quot;\ * \(#,##0.00\);_(&quot;€&quot;\ * &quot;-&quot;??_);_(@_)"/>
    <numFmt numFmtId="175" formatCode="_(* #,##0.00_);_(* \(#,##0.00\);_(* &quot;-&quot;??_);_(@_)"/>
    <numFmt numFmtId="176" formatCode="#\ ##0.00"/>
    <numFmt numFmtId="177" formatCode="dd/mm/yyyy"/>
    <numFmt numFmtId="178" formatCode="0.000"/>
    <numFmt numFmtId="179" formatCode="#\ ???/???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u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i/>
      <sz val="12"/>
      <color indexed="48"/>
      <name val="Arial"/>
      <family val="2"/>
    </font>
    <font>
      <b/>
      <sz val="10"/>
      <color indexed="4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40"/>
      </left>
      <right style="hair">
        <color indexed="40"/>
      </right>
      <top style="hair">
        <color indexed="40"/>
      </top>
      <bottom style="hair">
        <color indexed="4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40"/>
      </left>
      <right/>
      <top style="hair">
        <color indexed="40"/>
      </top>
      <bottom style="hair">
        <color indexed="40"/>
      </bottom>
      <diagonal/>
    </border>
    <border>
      <left style="medium">
        <color indexed="40"/>
      </left>
      <right style="hair">
        <color indexed="40"/>
      </right>
      <top style="hair">
        <color indexed="40"/>
      </top>
      <bottom style="hair">
        <color indexed="40"/>
      </bottom>
      <diagonal/>
    </border>
    <border>
      <left style="hair">
        <color indexed="40"/>
      </left>
      <right style="medium">
        <color indexed="40"/>
      </right>
      <top style="hair">
        <color indexed="40"/>
      </top>
      <bottom style="hair">
        <color indexed="40"/>
      </bottom>
      <diagonal/>
    </border>
    <border>
      <left style="medium">
        <color indexed="40"/>
      </left>
      <right style="medium">
        <color indexed="40"/>
      </right>
      <top style="hair">
        <color indexed="40"/>
      </top>
      <bottom style="hair">
        <color indexed="40"/>
      </bottom>
      <diagonal/>
    </border>
    <border>
      <left style="hair">
        <color indexed="40"/>
      </left>
      <right style="hair">
        <color indexed="40"/>
      </right>
      <top/>
      <bottom/>
      <diagonal/>
    </border>
    <border>
      <left style="medium">
        <color indexed="40"/>
      </left>
      <right style="hair">
        <color indexed="40"/>
      </right>
      <top/>
      <bottom style="hair">
        <color indexed="40"/>
      </bottom>
      <diagonal/>
    </border>
    <border>
      <left style="hair">
        <color indexed="40"/>
      </left>
      <right style="medium">
        <color indexed="40"/>
      </right>
      <top/>
      <bottom style="hair">
        <color indexed="40"/>
      </bottom>
      <diagonal/>
    </border>
    <border>
      <left/>
      <right/>
      <top style="thick">
        <color indexed="49"/>
      </top>
      <bottom style="hair">
        <color indexed="49"/>
      </bottom>
      <diagonal/>
    </border>
    <border>
      <left/>
      <right/>
      <top style="hair">
        <color indexed="49"/>
      </top>
      <bottom style="hair">
        <color indexed="49"/>
      </bottom>
      <diagonal/>
    </border>
    <border>
      <left/>
      <right/>
      <top style="hair">
        <color indexed="49"/>
      </top>
      <bottom style="thick">
        <color indexed="49"/>
      </bottom>
      <diagonal/>
    </border>
    <border>
      <left style="double">
        <color indexed="49"/>
      </left>
      <right/>
      <top style="double">
        <color indexed="49"/>
      </top>
      <bottom/>
      <diagonal/>
    </border>
    <border>
      <left/>
      <right style="double">
        <color indexed="49"/>
      </right>
      <top style="double">
        <color indexed="49"/>
      </top>
      <bottom/>
      <diagonal/>
    </border>
    <border>
      <left style="double">
        <color indexed="49"/>
      </left>
      <right/>
      <top/>
      <bottom style="double">
        <color indexed="49"/>
      </bottom>
      <diagonal/>
    </border>
    <border>
      <left/>
      <right style="double">
        <color indexed="49"/>
      </right>
      <top/>
      <bottom style="double">
        <color indexed="49"/>
      </bottom>
      <diagonal/>
    </border>
    <border>
      <left style="thick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hair">
        <color indexed="40"/>
      </left>
      <right/>
      <top/>
      <bottom style="hair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ck">
        <color indexed="40"/>
      </right>
      <top style="thin">
        <color indexed="40"/>
      </top>
      <bottom style="thin">
        <color indexed="40"/>
      </bottom>
      <diagonal/>
    </border>
    <border>
      <left style="hair">
        <color indexed="40"/>
      </left>
      <right style="hair">
        <color indexed="40"/>
      </right>
      <top/>
      <bottom style="hair">
        <color indexed="4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</cellStyleXfs>
  <cellXfs count="420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3" fillId="0" borderId="1" xfId="0" applyFont="1" applyBorder="1"/>
    <xf numFmtId="4" fontId="0" fillId="0" borderId="1" xfId="0" applyNumberFormat="1" applyBorder="1"/>
    <xf numFmtId="0" fontId="0" fillId="0" borderId="1" xfId="0" applyNumberFormat="1" applyBorder="1"/>
    <xf numFmtId="0" fontId="0" fillId="0" borderId="1" xfId="0" quotePrefix="1" applyBorder="1" applyAlignment="1">
      <alignment horizontal="right"/>
    </xf>
    <xf numFmtId="0" fontId="0" fillId="0" borderId="0" xfId="0" applyFill="1"/>
    <xf numFmtId="4" fontId="3" fillId="0" borderId="1" xfId="0" applyNumberFormat="1" applyFont="1" applyBorder="1" applyAlignment="1">
      <alignment horizontal="center"/>
    </xf>
    <xf numFmtId="9" fontId="0" fillId="0" borderId="1" xfId="0" applyNumberFormat="1" applyBorder="1"/>
    <xf numFmtId="0" fontId="4" fillId="0" borderId="0" xfId="0" applyFont="1" applyAlignment="1">
      <alignment horizontal="center"/>
    </xf>
    <xf numFmtId="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right"/>
    </xf>
    <xf numFmtId="14" fontId="0" fillId="0" borderId="0" xfId="0" applyNumberFormat="1" applyProtection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/>
    </xf>
    <xf numFmtId="174" fontId="0" fillId="0" borderId="0" xfId="1" applyFon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quotePrefix="1" applyBorder="1"/>
    <xf numFmtId="0" fontId="0" fillId="2" borderId="0" xfId="0" applyFill="1"/>
    <xf numFmtId="14" fontId="0" fillId="0" borderId="0" xfId="0" applyNumberFormat="1"/>
    <xf numFmtId="14" fontId="0" fillId="0" borderId="3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14" fontId="0" fillId="0" borderId="0" xfId="0" applyNumberFormat="1" applyProtection="1">
      <protection locked="0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3" xfId="0" applyFill="1" applyBorder="1" applyAlignment="1">
      <alignment horizontal="center" vertical="top" wrapText="1"/>
    </xf>
    <xf numFmtId="4" fontId="0" fillId="0" borderId="3" xfId="0" applyNumberFormat="1" applyBorder="1"/>
    <xf numFmtId="0" fontId="0" fillId="0" borderId="0" xfId="0" applyAlignment="1"/>
    <xf numFmtId="0" fontId="10" fillId="0" borderId="0" xfId="0" applyFont="1"/>
    <xf numFmtId="176" fontId="0" fillId="0" borderId="0" xfId="0" applyNumberFormat="1" applyBorder="1"/>
    <xf numFmtId="174" fontId="1" fillId="0" borderId="0" xfId="1" applyFont="1" applyBorder="1" applyAlignment="1">
      <alignment horizontal="right"/>
    </xf>
    <xf numFmtId="0" fontId="0" fillId="3" borderId="0" xfId="0" applyFill="1" applyAlignment="1"/>
    <xf numFmtId="0" fontId="11" fillId="4" borderId="0" xfId="0" applyFont="1" applyFill="1" applyAlignment="1"/>
    <xf numFmtId="0" fontId="11" fillId="4" borderId="3" xfId="0" applyFont="1" applyFill="1" applyBorder="1" applyAlignment="1">
      <alignment horizontal="center" vertical="top"/>
    </xf>
    <xf numFmtId="14" fontId="11" fillId="4" borderId="3" xfId="0" applyNumberFormat="1" applyFont="1" applyFill="1" applyBorder="1" applyAlignment="1"/>
    <xf numFmtId="0" fontId="12" fillId="0" borderId="0" xfId="0" applyFont="1" applyAlignment="1"/>
    <xf numFmtId="0" fontId="0" fillId="0" borderId="0" xfId="0" quotePrefix="1"/>
    <xf numFmtId="0" fontId="0" fillId="0" borderId="0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5" xfId="0" applyFill="1" applyBorder="1"/>
    <xf numFmtId="0" fontId="0" fillId="3" borderId="4" xfId="0" applyFill="1" applyBorder="1"/>
    <xf numFmtId="0" fontId="0" fillId="3" borderId="7" xfId="0" applyFill="1" applyBorder="1" applyAlignment="1">
      <alignment horizontal="right"/>
    </xf>
    <xf numFmtId="4" fontId="0" fillId="3" borderId="8" xfId="0" applyNumberFormat="1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6" xfId="0" applyFill="1" applyBorder="1" applyAlignment="1">
      <alignment horizontal="right"/>
    </xf>
    <xf numFmtId="4" fontId="0" fillId="3" borderId="10" xfId="0" applyNumberFormat="1" applyFill="1" applyBorder="1"/>
    <xf numFmtId="0" fontId="0" fillId="0" borderId="11" xfId="0" applyBorder="1"/>
    <xf numFmtId="0" fontId="0" fillId="4" borderId="12" xfId="0" applyFill="1" applyBorder="1"/>
    <xf numFmtId="0" fontId="0" fillId="4" borderId="1" xfId="0" applyFill="1" applyBorder="1"/>
    <xf numFmtId="0" fontId="0" fillId="4" borderId="4" xfId="0" applyFill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3" xfId="0" applyFill="1" applyBorder="1"/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14" xfId="0" applyFill="1" applyBorder="1"/>
    <xf numFmtId="0" fontId="0" fillId="0" borderId="10" xfId="0" applyFill="1" applyBorder="1"/>
    <xf numFmtId="0" fontId="0" fillId="0" borderId="2" xfId="0" quotePrefix="1" applyBorder="1"/>
    <xf numFmtId="0" fontId="0" fillId="0" borderId="14" xfId="0" quotePrefix="1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0" fillId="0" borderId="19" xfId="0" applyFill="1" applyBorder="1"/>
    <xf numFmtId="0" fontId="0" fillId="5" borderId="0" xfId="0" applyFill="1" applyBorder="1"/>
    <xf numFmtId="0" fontId="0" fillId="0" borderId="21" xfId="0" applyFill="1" applyBorder="1"/>
    <xf numFmtId="9" fontId="0" fillId="0" borderId="19" xfId="0" applyNumberFormat="1" applyBorder="1"/>
    <xf numFmtId="0" fontId="0" fillId="0" borderId="20" xfId="0" quotePrefix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4" xfId="0" quotePrefix="1" applyBorder="1"/>
    <xf numFmtId="0" fontId="0" fillId="0" borderId="25" xfId="0" applyBorder="1"/>
    <xf numFmtId="0" fontId="0" fillId="0" borderId="20" xfId="0" applyFill="1" applyBorder="1"/>
    <xf numFmtId="0" fontId="0" fillId="0" borderId="26" xfId="0" applyBorder="1"/>
    <xf numFmtId="0" fontId="0" fillId="0" borderId="24" xfId="0" applyFill="1" applyBorder="1"/>
    <xf numFmtId="0" fontId="0" fillId="4" borderId="0" xfId="0" applyFill="1"/>
    <xf numFmtId="0" fontId="0" fillId="0" borderId="27" xfId="0" applyBorder="1"/>
    <xf numFmtId="0" fontId="0" fillId="4" borderId="27" xfId="0" applyFill="1" applyBorder="1"/>
    <xf numFmtId="0" fontId="0" fillId="0" borderId="28" xfId="0" applyBorder="1"/>
    <xf numFmtId="0" fontId="0" fillId="4" borderId="29" xfId="0" applyFill="1" applyBorder="1"/>
    <xf numFmtId="0" fontId="0" fillId="0" borderId="30" xfId="0" applyBorder="1"/>
    <xf numFmtId="0" fontId="0" fillId="4" borderId="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4" borderId="33" xfId="0" applyFill="1" applyBorder="1"/>
    <xf numFmtId="0" fontId="0" fillId="0" borderId="34" xfId="0" applyBorder="1"/>
    <xf numFmtId="0" fontId="0" fillId="5" borderId="13" xfId="0" applyFill="1" applyBorder="1" applyAlignment="1">
      <alignment horizontal="center"/>
    </xf>
    <xf numFmtId="0" fontId="0" fillId="5" borderId="0" xfId="0" applyFill="1"/>
    <xf numFmtId="0" fontId="0" fillId="5" borderId="35" xfId="0" applyFill="1" applyBorder="1"/>
    <xf numFmtId="0" fontId="0" fillId="0" borderId="36" xfId="0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3" borderId="20" xfId="0" applyFill="1" applyBorder="1" applyAlignment="1"/>
    <xf numFmtId="4" fontId="0" fillId="4" borderId="0" xfId="0" applyNumberFormat="1" applyFill="1" applyBorder="1"/>
    <xf numFmtId="0" fontId="0" fillId="0" borderId="37" xfId="0" applyBorder="1"/>
    <xf numFmtId="0" fontId="0" fillId="0" borderId="14" xfId="0" applyBorder="1" applyAlignment="1">
      <alignment horizontal="left"/>
    </xf>
    <xf numFmtId="0" fontId="2" fillId="0" borderId="11" xfId="0" applyFont="1" applyBorder="1"/>
    <xf numFmtId="0" fontId="2" fillId="0" borderId="38" xfId="0" applyFont="1" applyBorder="1"/>
    <xf numFmtId="0" fontId="2" fillId="0" borderId="37" xfId="0" applyFont="1" applyBorder="1" applyAlignment="1">
      <alignment horizontal="right"/>
    </xf>
    <xf numFmtId="0" fontId="0" fillId="6" borderId="0" xfId="0" applyFill="1"/>
    <xf numFmtId="4" fontId="0" fillId="6" borderId="0" xfId="0" applyNumberFormat="1" applyFill="1"/>
    <xf numFmtId="14" fontId="0" fillId="7" borderId="39" xfId="0" applyNumberFormat="1" applyFill="1" applyBorder="1" applyProtection="1">
      <protection locked="0"/>
    </xf>
    <xf numFmtId="4" fontId="0" fillId="7" borderId="8" xfId="0" applyNumberFormat="1" applyFill="1" applyBorder="1" applyProtection="1">
      <protection locked="0"/>
    </xf>
    <xf numFmtId="4" fontId="0" fillId="7" borderId="10" xfId="0" applyNumberFormat="1" applyFill="1" applyBorder="1" applyProtection="1">
      <protection locked="0"/>
    </xf>
    <xf numFmtId="4" fontId="0" fillId="7" borderId="12" xfId="0" applyNumberFormat="1" applyFill="1" applyBorder="1" applyProtection="1">
      <protection locked="0"/>
    </xf>
    <xf numFmtId="4" fontId="0" fillId="7" borderId="39" xfId="0" applyNumberFormat="1" applyFill="1" applyBorder="1" applyProtection="1">
      <protection locked="0"/>
    </xf>
    <xf numFmtId="4" fontId="0" fillId="7" borderId="40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0" xfId="0" applyFill="1" applyBorder="1" applyProtection="1"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5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6" xfId="0" applyNumberFormat="1" applyBorder="1"/>
    <xf numFmtId="4" fontId="0" fillId="0" borderId="14" xfId="0" applyNumberFormat="1" applyBorder="1"/>
    <xf numFmtId="4" fontId="13" fillId="0" borderId="0" xfId="0" applyNumberFormat="1" applyFont="1"/>
    <xf numFmtId="4" fontId="0" fillId="0" borderId="0" xfId="0" quotePrefix="1" applyNumberFormat="1"/>
    <xf numFmtId="4" fontId="0" fillId="0" borderId="41" xfId="0" applyNumberFormat="1" applyBorder="1"/>
    <xf numFmtId="4" fontId="0" fillId="0" borderId="42" xfId="0" applyNumberFormat="1" applyBorder="1"/>
    <xf numFmtId="4" fontId="0" fillId="0" borderId="43" xfId="0" applyNumberFormat="1" applyBorder="1"/>
    <xf numFmtId="4" fontId="2" fillId="0" borderId="0" xfId="0" quotePrefix="1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center" wrapText="1"/>
    </xf>
    <xf numFmtId="4" fontId="0" fillId="0" borderId="14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2" fillId="0" borderId="11" xfId="0" applyNumberFormat="1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lef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0" xfId="0" applyNumberFormat="1" applyFont="1" applyBorder="1"/>
    <xf numFmtId="4" fontId="2" fillId="0" borderId="44" xfId="0" applyNumberFormat="1" applyFont="1" applyBorder="1"/>
    <xf numFmtId="4" fontId="0" fillId="0" borderId="35" xfId="0" applyNumberFormat="1" applyBorder="1"/>
    <xf numFmtId="4" fontId="0" fillId="0" borderId="36" xfId="0" applyNumberFormat="1" applyBorder="1"/>
    <xf numFmtId="4" fontId="2" fillId="0" borderId="17" xfId="0" applyNumberFormat="1" applyFont="1" applyBorder="1"/>
    <xf numFmtId="4" fontId="0" fillId="0" borderId="15" xfId="0" applyNumberFormat="1" applyBorder="1"/>
    <xf numFmtId="4" fontId="2" fillId="0" borderId="18" xfId="0" applyNumberFormat="1" applyFont="1" applyBorder="1"/>
    <xf numFmtId="4" fontId="0" fillId="0" borderId="13" xfId="0" applyNumberFormat="1" applyBorder="1"/>
    <xf numFmtId="4" fontId="0" fillId="0" borderId="16" xfId="0" applyNumberFormat="1" applyBorder="1"/>
    <xf numFmtId="4" fontId="0" fillId="0" borderId="12" xfId="0" applyNumberFormat="1" applyBorder="1"/>
    <xf numFmtId="4" fontId="0" fillId="0" borderId="2" xfId="0" applyNumberFormat="1" applyBorder="1"/>
    <xf numFmtId="4" fontId="0" fillId="0" borderId="42" xfId="0" applyNumberFormat="1" applyBorder="1" applyAlignment="1">
      <alignment horizontal="center"/>
    </xf>
    <xf numFmtId="4" fontId="0" fillId="0" borderId="10" xfId="0" applyNumberFormat="1" applyBorder="1"/>
    <xf numFmtId="4" fontId="0" fillId="0" borderId="42" xfId="0" applyNumberFormat="1" applyBorder="1" applyAlignment="1">
      <alignment horizontal="center" wrapText="1"/>
    </xf>
    <xf numFmtId="4" fontId="0" fillId="0" borderId="42" xfId="0" applyNumberFormat="1" applyBorder="1" applyAlignment="1">
      <alignment horizontal="center" vertical="top"/>
    </xf>
    <xf numFmtId="4" fontId="2" fillId="0" borderId="5" xfId="0" applyNumberFormat="1" applyFont="1" applyBorder="1"/>
    <xf numFmtId="4" fontId="0" fillId="0" borderId="0" xfId="0" quotePrefix="1" applyNumberFormat="1" applyBorder="1"/>
    <xf numFmtId="4" fontId="0" fillId="0" borderId="17" xfId="0" applyNumberFormat="1" applyBorder="1"/>
    <xf numFmtId="4" fontId="0" fillId="0" borderId="2" xfId="0" applyNumberFormat="1" applyBorder="1" applyAlignment="1">
      <alignment horizontal="left"/>
    </xf>
    <xf numFmtId="4" fontId="2" fillId="0" borderId="2" xfId="0" quotePrefix="1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 wrapText="1"/>
    </xf>
    <xf numFmtId="4" fontId="2" fillId="0" borderId="2" xfId="0" quotePrefix="1" applyNumberFormat="1" applyFont="1" applyBorder="1" applyAlignment="1">
      <alignment horizontal="center" wrapText="1"/>
    </xf>
    <xf numFmtId="4" fontId="0" fillId="0" borderId="42" xfId="0" applyNumberFormat="1" applyBorder="1" applyAlignment="1">
      <alignment horizontal="center" vertical="top" wrapText="1"/>
    </xf>
    <xf numFmtId="4" fontId="2" fillId="0" borderId="2" xfId="0" applyNumberFormat="1" applyFont="1" applyBorder="1"/>
    <xf numFmtId="14" fontId="2" fillId="0" borderId="12" xfId="0" applyNumberFormat="1" applyFont="1" applyBorder="1"/>
    <xf numFmtId="4" fontId="0" fillId="0" borderId="1" xfId="0" applyNumberFormat="1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45" xfId="0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4" fontId="2" fillId="3" borderId="12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Fill="1" applyBorder="1" applyProtection="1">
      <protection hidden="1"/>
    </xf>
    <xf numFmtId="0" fontId="2" fillId="0" borderId="5" xfId="0" applyFont="1" applyBorder="1" applyProtection="1">
      <protection hidden="1"/>
    </xf>
    <xf numFmtId="4" fontId="0" fillId="5" borderId="2" xfId="0" applyNumberForma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4" fontId="0" fillId="5" borderId="0" xfId="0" applyNumberFormat="1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Border="1" applyProtection="1">
      <protection hidden="1"/>
    </xf>
    <xf numFmtId="0" fontId="0" fillId="0" borderId="14" xfId="0" applyBorder="1" applyProtection="1">
      <protection hidden="1"/>
    </xf>
    <xf numFmtId="4" fontId="0" fillId="5" borderId="14" xfId="0" applyNumberFormat="1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right"/>
      <protection hidden="1"/>
    </xf>
    <xf numFmtId="4" fontId="0" fillId="0" borderId="14" xfId="0" applyNumberFormat="1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quotePrefix="1" applyFill="1" applyBorder="1" applyAlignment="1" applyProtection="1">
      <alignment horizontal="center"/>
      <protection hidden="1"/>
    </xf>
    <xf numFmtId="0" fontId="2" fillId="0" borderId="11" xfId="0" applyFont="1" applyFill="1" applyBorder="1" applyProtection="1">
      <protection hidden="1"/>
    </xf>
    <xf numFmtId="4" fontId="0" fillId="5" borderId="1" xfId="0" applyNumberFormat="1" applyFill="1" applyBorder="1" applyProtection="1">
      <protection hidden="1"/>
    </xf>
    <xf numFmtId="4" fontId="0" fillId="0" borderId="2" xfId="0" applyNumberFormat="1" applyFill="1" applyBorder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/>
      <protection hidden="1"/>
    </xf>
    <xf numFmtId="0" fontId="2" fillId="3" borderId="11" xfId="0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Protection="1">
      <protection hidden="1"/>
    </xf>
    <xf numFmtId="4" fontId="0" fillId="5" borderId="0" xfId="0" quotePrefix="1" applyNumberFormat="1" applyFill="1" applyBorder="1" applyAlignment="1" applyProtection="1">
      <alignment horizontal="right"/>
      <protection hidden="1"/>
    </xf>
    <xf numFmtId="0" fontId="2" fillId="0" borderId="6" xfId="0" applyFont="1" applyBorder="1" applyProtection="1">
      <protection hidden="1"/>
    </xf>
    <xf numFmtId="0" fontId="0" fillId="5" borderId="14" xfId="0" applyFill="1" applyBorder="1" applyProtection="1">
      <protection hidden="1"/>
    </xf>
    <xf numFmtId="0" fontId="0" fillId="0" borderId="0" xfId="0" applyFill="1" applyProtection="1">
      <protection hidden="1"/>
    </xf>
    <xf numFmtId="0" fontId="2" fillId="0" borderId="11" xfId="0" applyFont="1" applyBorder="1" applyProtection="1">
      <protection hidden="1"/>
    </xf>
    <xf numFmtId="0" fontId="2" fillId="8" borderId="5" xfId="0" applyFont="1" applyFill="1" applyBorder="1" applyProtection="1">
      <protection hidden="1"/>
    </xf>
    <xf numFmtId="0" fontId="0" fillId="8" borderId="2" xfId="0" applyFill="1" applyBorder="1" applyProtection="1">
      <protection hidden="1"/>
    </xf>
    <xf numFmtId="0" fontId="0" fillId="8" borderId="4" xfId="0" applyFill="1" applyBorder="1" applyProtection="1">
      <protection hidden="1"/>
    </xf>
    <xf numFmtId="4" fontId="0" fillId="8" borderId="6" xfId="0" applyNumberFormat="1" applyFill="1" applyBorder="1" applyProtection="1">
      <protection hidden="1"/>
    </xf>
    <xf numFmtId="0" fontId="0" fillId="8" borderId="14" xfId="0" applyFill="1" applyBorder="1" applyProtection="1">
      <protection hidden="1"/>
    </xf>
    <xf numFmtId="4" fontId="0" fillId="8" borderId="14" xfId="0" applyNumberFormat="1" applyFill="1" applyBorder="1" applyProtection="1">
      <protection hidden="1"/>
    </xf>
    <xf numFmtId="0" fontId="0" fillId="8" borderId="10" xfId="0" applyFill="1" applyBorder="1" applyProtection="1">
      <protection hidden="1"/>
    </xf>
    <xf numFmtId="4" fontId="2" fillId="0" borderId="12" xfId="0" applyNumberFormat="1" applyFont="1" applyBorder="1" applyProtection="1">
      <protection hidden="1"/>
    </xf>
    <xf numFmtId="0" fontId="0" fillId="0" borderId="2" xfId="0" applyBorder="1" applyAlignment="1">
      <alignment horizontal="left"/>
    </xf>
    <xf numFmtId="4" fontId="0" fillId="7" borderId="4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46" xfId="0" applyFont="1" applyBorder="1"/>
    <xf numFmtId="0" fontId="0" fillId="7" borderId="47" xfId="0" applyFill="1" applyBorder="1" applyAlignment="1" applyProtection="1">
      <alignment horizontal="center"/>
      <protection locked="0"/>
    </xf>
    <xf numFmtId="0" fontId="0" fillId="0" borderId="47" xfId="0" applyBorder="1"/>
    <xf numFmtId="0" fontId="2" fillId="0" borderId="47" xfId="0" applyFont="1" applyBorder="1" applyAlignment="1">
      <alignment horizontal="right"/>
    </xf>
    <xf numFmtId="0" fontId="0" fillId="7" borderId="48" xfId="0" applyFill="1" applyBorder="1" applyAlignment="1" applyProtection="1">
      <alignment horizontal="center"/>
      <protection locked="0"/>
    </xf>
    <xf numFmtId="176" fontId="0" fillId="0" borderId="45" xfId="0" applyNumberFormat="1" applyBorder="1"/>
    <xf numFmtId="0" fontId="0" fillId="0" borderId="49" xfId="0" applyBorder="1"/>
    <xf numFmtId="0" fontId="0" fillId="0" borderId="49" xfId="0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 applyProtection="1">
      <alignment horizontal="center"/>
      <protection locked="0"/>
    </xf>
    <xf numFmtId="176" fontId="0" fillId="0" borderId="51" xfId="0" applyNumberFormat="1" applyBorder="1"/>
    <xf numFmtId="176" fontId="0" fillId="0" borderId="50" xfId="0" applyNumberFormat="1" applyBorder="1"/>
    <xf numFmtId="0" fontId="0" fillId="0" borderId="5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176" fontId="0" fillId="0" borderId="52" xfId="0" applyNumberFormat="1" applyBorder="1"/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4" fontId="0" fillId="4" borderId="5" xfId="0" applyNumberFormat="1" applyFill="1" applyBorder="1" applyProtection="1">
      <protection locked="0"/>
    </xf>
    <xf numFmtId="4" fontId="0" fillId="4" borderId="0" xfId="0" applyNumberFormat="1" applyFill="1" applyBorder="1" applyProtection="1">
      <protection locked="0"/>
    </xf>
    <xf numFmtId="0" fontId="0" fillId="0" borderId="53" xfId="0" applyFill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50" xfId="0" applyBorder="1"/>
    <xf numFmtId="0" fontId="0" fillId="0" borderId="51" xfId="0" applyBorder="1"/>
    <xf numFmtId="9" fontId="0" fillId="0" borderId="50" xfId="0" applyNumberFormat="1" applyBorder="1" applyAlignment="1">
      <alignment horizontal="center"/>
    </xf>
    <xf numFmtId="9" fontId="0" fillId="0" borderId="51" xfId="0" applyNumberFormat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16" fillId="4" borderId="56" xfId="0" applyFont="1" applyFill="1" applyBorder="1"/>
    <xf numFmtId="14" fontId="16" fillId="4" borderId="56" xfId="0" applyNumberFormat="1" applyFont="1" applyFill="1" applyBorder="1"/>
    <xf numFmtId="0" fontId="16" fillId="4" borderId="57" xfId="0" applyFont="1" applyFill="1" applyBorder="1"/>
    <xf numFmtId="14" fontId="16" fillId="4" borderId="57" xfId="0" applyNumberFormat="1" applyFont="1" applyFill="1" applyBorder="1"/>
    <xf numFmtId="0" fontId="16" fillId="4" borderId="58" xfId="0" applyFont="1" applyFill="1" applyBorder="1"/>
    <xf numFmtId="4" fontId="16" fillId="4" borderId="58" xfId="0" applyNumberFormat="1" applyFont="1" applyFill="1" applyBorder="1"/>
    <xf numFmtId="0" fontId="16" fillId="4" borderId="56" xfId="0" applyFont="1" applyFill="1" applyBorder="1" applyAlignment="1">
      <alignment horizontal="center"/>
    </xf>
    <xf numFmtId="176" fontId="16" fillId="4" borderId="57" xfId="0" applyNumberFormat="1" applyFont="1" applyFill="1" applyBorder="1"/>
    <xf numFmtId="176" fontId="16" fillId="4" borderId="57" xfId="0" applyNumberFormat="1" applyFont="1" applyFill="1" applyBorder="1" applyAlignment="1">
      <alignment horizontal="right"/>
    </xf>
    <xf numFmtId="9" fontId="16" fillId="4" borderId="57" xfId="0" applyNumberFormat="1" applyFont="1" applyFill="1" applyBorder="1"/>
    <xf numFmtId="0" fontId="16" fillId="4" borderId="58" xfId="0" applyFont="1" applyFill="1" applyBorder="1" applyAlignment="1">
      <alignment horizontal="right"/>
    </xf>
    <xf numFmtId="176" fontId="16" fillId="4" borderId="58" xfId="0" applyNumberFormat="1" applyFont="1" applyFill="1" applyBorder="1"/>
    <xf numFmtId="0" fontId="17" fillId="4" borderId="59" xfId="0" applyFont="1" applyFill="1" applyBorder="1"/>
    <xf numFmtId="0" fontId="17" fillId="4" borderId="60" xfId="0" applyFont="1" applyFill="1" applyBorder="1"/>
    <xf numFmtId="0" fontId="17" fillId="4" borderId="61" xfId="0" applyFont="1" applyFill="1" applyBorder="1"/>
    <xf numFmtId="0" fontId="0" fillId="9" borderId="0" xfId="0" applyFill="1"/>
    <xf numFmtId="176" fontId="17" fillId="4" borderId="62" xfId="0" applyNumberFormat="1" applyFont="1" applyFill="1" applyBorder="1"/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>
      <alignment horizontal="left"/>
    </xf>
    <xf numFmtId="9" fontId="14" fillId="4" borderId="12" xfId="0" applyNumberFormat="1" applyFont="1" applyFill="1" applyBorder="1" applyAlignment="1">
      <alignment horizontal="center"/>
    </xf>
    <xf numFmtId="9" fontId="14" fillId="4" borderId="43" xfId="0" applyNumberFormat="1" applyFont="1" applyFill="1" applyBorder="1" applyAlignment="1">
      <alignment horizontal="center" vertical="center"/>
    </xf>
    <xf numFmtId="9" fontId="14" fillId="4" borderId="3" xfId="0" applyNumberFormat="1" applyFont="1" applyFill="1" applyBorder="1" applyAlignment="1">
      <alignment horizontal="center" vertical="center"/>
    </xf>
    <xf numFmtId="178" fontId="0" fillId="0" borderId="0" xfId="0" applyNumberFormat="1"/>
    <xf numFmtId="2" fontId="0" fillId="0" borderId="0" xfId="0" applyNumberFormat="1"/>
    <xf numFmtId="0" fontId="0" fillId="7" borderId="8" xfId="0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indent="1"/>
      <protection hidden="1"/>
    </xf>
    <xf numFmtId="0" fontId="16" fillId="0" borderId="0" xfId="0" applyFont="1" applyProtection="1">
      <protection hidden="1"/>
    </xf>
    <xf numFmtId="2" fontId="16" fillId="0" borderId="0" xfId="0" applyNumberFormat="1" applyFont="1" applyProtection="1">
      <protection hidden="1"/>
    </xf>
    <xf numFmtId="0" fontId="16" fillId="0" borderId="0" xfId="0" applyFont="1" applyAlignment="1" applyProtection="1">
      <alignment horizontal="left" indent="1"/>
      <protection hidden="1"/>
    </xf>
    <xf numFmtId="0" fontId="14" fillId="4" borderId="3" xfId="0" applyFont="1" applyFill="1" applyBorder="1" applyAlignment="1">
      <alignment horizontal="center" wrapText="1"/>
    </xf>
    <xf numFmtId="12" fontId="0" fillId="0" borderId="0" xfId="0" applyNumberFormat="1"/>
    <xf numFmtId="179" fontId="11" fillId="4" borderId="3" xfId="0" applyNumberFormat="1" applyFont="1" applyFill="1" applyBorder="1" applyAlignment="1"/>
    <xf numFmtId="0" fontId="0" fillId="0" borderId="0" xfId="0" applyNumberFormat="1"/>
    <xf numFmtId="0" fontId="18" fillId="10" borderId="3" xfId="0" applyFont="1" applyFill="1" applyBorder="1"/>
    <xf numFmtId="14" fontId="18" fillId="10" borderId="3" xfId="0" applyNumberFormat="1" applyFont="1" applyFill="1" applyBorder="1"/>
    <xf numFmtId="14" fontId="0" fillId="0" borderId="11" xfId="0" applyNumberFormat="1" applyBorder="1"/>
    <xf numFmtId="0" fontId="0" fillId="0" borderId="12" xfId="0" applyBorder="1"/>
    <xf numFmtId="14" fontId="0" fillId="0" borderId="49" xfId="0" applyNumberFormat="1" applyBorder="1" applyAlignment="1">
      <alignment horizontal="center" vertical="center" wrapText="1"/>
    </xf>
    <xf numFmtId="0" fontId="0" fillId="0" borderId="8" xfId="0" applyBorder="1"/>
    <xf numFmtId="14" fontId="0" fillId="0" borderId="4" xfId="0" applyNumberFormat="1" applyBorder="1"/>
    <xf numFmtId="0" fontId="0" fillId="0" borderId="7" xfId="0" applyBorder="1"/>
    <xf numFmtId="0" fontId="0" fillId="0" borderId="6" xfId="0" quotePrefix="1" applyBorder="1"/>
    <xf numFmtId="0" fontId="0" fillId="0" borderId="11" xfId="0" quotePrefix="1" applyBorder="1"/>
    <xf numFmtId="0" fontId="0" fillId="0" borderId="0" xfId="0" applyFill="1" applyBorder="1"/>
    <xf numFmtId="14" fontId="0" fillId="0" borderId="3" xfId="0" applyNumberFormat="1" applyBorder="1"/>
    <xf numFmtId="0" fontId="0" fillId="0" borderId="3" xfId="0" applyBorder="1"/>
    <xf numFmtId="0" fontId="0" fillId="0" borderId="7" xfId="0" applyFill="1" applyBorder="1" applyAlignment="1" applyProtection="1">
      <alignment horizontal="right"/>
      <protection hidden="1"/>
    </xf>
    <xf numFmtId="4" fontId="0" fillId="0" borderId="7" xfId="0" applyNumberFormat="1" applyFill="1" applyBorder="1" applyProtection="1">
      <protection hidden="1"/>
    </xf>
    <xf numFmtId="0" fontId="2" fillId="0" borderId="5" xfId="0" applyFont="1" applyBorder="1"/>
    <xf numFmtId="0" fontId="2" fillId="0" borderId="4" xfId="0" applyFont="1" applyBorder="1"/>
    <xf numFmtId="0" fontId="2" fillId="0" borderId="2" xfId="0" quotePrefix="1" applyFont="1" applyBorder="1"/>
    <xf numFmtId="14" fontId="0" fillId="0" borderId="49" xfId="0" applyNumberFormat="1" applyFont="1" applyBorder="1" applyAlignment="1">
      <alignment horizontal="center" vertical="center"/>
    </xf>
    <xf numFmtId="14" fontId="0" fillId="0" borderId="49" xfId="0" applyNumberFormat="1" applyBorder="1" applyAlignment="1">
      <alignment vertical="center"/>
    </xf>
    <xf numFmtId="14" fontId="0" fillId="0" borderId="49" xfId="0" applyNumberFormat="1" applyBorder="1"/>
    <xf numFmtId="0" fontId="1" fillId="7" borderId="37" xfId="0" applyFont="1" applyFill="1" applyBorder="1" applyAlignment="1" applyProtection="1">
      <alignment horizontal="center"/>
      <protection locked="0"/>
    </xf>
    <xf numFmtId="14" fontId="0" fillId="0" borderId="63" xfId="0" applyNumberFormat="1" applyBorder="1"/>
    <xf numFmtId="14" fontId="0" fillId="0" borderId="64" xfId="0" applyNumberFormat="1" applyBorder="1"/>
    <xf numFmtId="4" fontId="0" fillId="0" borderId="50" xfId="0" applyNumberFormat="1" applyBorder="1" applyAlignment="1">
      <alignment horizontal="right" vertical="top" wrapText="1"/>
    </xf>
    <xf numFmtId="4" fontId="0" fillId="0" borderId="50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4" fontId="0" fillId="0" borderId="50" xfId="0" applyNumberFormat="1" applyBorder="1" applyAlignment="1">
      <alignment horizontal="right" vertical="top"/>
    </xf>
    <xf numFmtId="4" fontId="0" fillId="0" borderId="45" xfId="0" applyNumberFormat="1" applyBorder="1" applyAlignment="1" applyProtection="1">
      <alignment horizontal="right" vertical="center"/>
      <protection locked="0"/>
    </xf>
    <xf numFmtId="4" fontId="0" fillId="0" borderId="51" xfId="0" applyNumberFormat="1" applyBorder="1" applyAlignment="1" applyProtection="1">
      <alignment horizontal="right"/>
      <protection locked="0"/>
    </xf>
    <xf numFmtId="4" fontId="0" fillId="0" borderId="50" xfId="0" applyNumberFormat="1" applyBorder="1" applyAlignment="1" applyProtection="1">
      <alignment horizontal="right"/>
      <protection locked="0"/>
    </xf>
    <xf numFmtId="4" fontId="0" fillId="0" borderId="45" xfId="0" applyNumberFormat="1" applyBorder="1" applyAlignment="1" applyProtection="1">
      <alignment horizontal="right"/>
      <protection locked="0"/>
    </xf>
    <xf numFmtId="4" fontId="0" fillId="0" borderId="52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4" fontId="0" fillId="0" borderId="52" xfId="0" applyNumberFormat="1" applyBorder="1" applyAlignment="1" applyProtection="1">
      <alignment horizontal="right"/>
      <protection locked="0"/>
    </xf>
    <xf numFmtId="4" fontId="0" fillId="0" borderId="50" xfId="2" applyNumberFormat="1" applyFont="1" applyBorder="1" applyAlignment="1">
      <alignment horizontal="right" vertical="top" wrapText="1"/>
    </xf>
    <xf numFmtId="4" fontId="0" fillId="0" borderId="45" xfId="2" applyNumberFormat="1" applyFont="1" applyBorder="1" applyAlignment="1" applyProtection="1">
      <alignment horizontal="right" vertical="center"/>
      <protection locked="0"/>
    </xf>
    <xf numFmtId="4" fontId="0" fillId="0" borderId="51" xfId="2" applyNumberFormat="1" applyFont="1" applyBorder="1" applyAlignment="1" applyProtection="1">
      <alignment horizontal="right"/>
      <protection locked="0"/>
    </xf>
    <xf numFmtId="4" fontId="0" fillId="0" borderId="50" xfId="2" applyNumberFormat="1" applyFont="1" applyBorder="1" applyAlignment="1" applyProtection="1">
      <alignment horizontal="right"/>
      <protection locked="0"/>
    </xf>
    <xf numFmtId="4" fontId="0" fillId="0" borderId="45" xfId="2" applyNumberFormat="1" applyFont="1" applyBorder="1" applyAlignment="1" applyProtection="1">
      <alignment horizontal="right"/>
      <protection locked="0"/>
    </xf>
    <xf numFmtId="4" fontId="0" fillId="0" borderId="52" xfId="2" applyNumberFormat="1" applyFont="1" applyBorder="1" applyAlignment="1">
      <alignment horizontal="right"/>
    </xf>
    <xf numFmtId="4" fontId="0" fillId="0" borderId="50" xfId="2" applyNumberFormat="1" applyFont="1" applyBorder="1" applyAlignment="1">
      <alignment horizontal="right"/>
    </xf>
    <xf numFmtId="4" fontId="0" fillId="0" borderId="51" xfId="2" applyNumberFormat="1" applyFont="1" applyBorder="1" applyAlignment="1">
      <alignment horizontal="right"/>
    </xf>
    <xf numFmtId="4" fontId="0" fillId="0" borderId="45" xfId="2" applyNumberFormat="1" applyFont="1" applyBorder="1" applyAlignment="1">
      <alignment horizontal="right"/>
    </xf>
    <xf numFmtId="4" fontId="1" fillId="0" borderId="52" xfId="2" applyNumberFormat="1" applyBorder="1" applyAlignment="1">
      <alignment horizontal="right" vertical="top" wrapText="1"/>
    </xf>
    <xf numFmtId="4" fontId="0" fillId="0" borderId="0" xfId="2" applyNumberFormat="1" applyFont="1" applyAlignment="1">
      <alignment horizontal="right"/>
    </xf>
    <xf numFmtId="4" fontId="0" fillId="0" borderId="50" xfId="0" applyNumberFormat="1" applyFill="1" applyBorder="1" applyAlignment="1">
      <alignment horizontal="right" vertical="top" wrapText="1"/>
    </xf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4" fontId="0" fillId="0" borderId="67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11" fillId="4" borderId="3" xfId="0" applyNumberFormat="1" applyFont="1" applyFill="1" applyBorder="1" applyAlignment="1"/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8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68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left"/>
    </xf>
    <xf numFmtId="0" fontId="0" fillId="0" borderId="1" xfId="0" applyBorder="1" applyProtection="1">
      <protection hidden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/>
    <xf numFmtId="0" fontId="0" fillId="0" borderId="15" xfId="0" applyFill="1" applyBorder="1"/>
    <xf numFmtId="2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50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1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0" fillId="0" borderId="0" xfId="0" quotePrefix="1" applyNumberFormat="1" applyBorder="1" applyAlignment="1">
      <alignment wrapText="1"/>
    </xf>
    <xf numFmtId="4" fontId="0" fillId="0" borderId="0" xfId="0" applyNumberFormat="1" applyBorder="1"/>
    <xf numFmtId="4" fontId="0" fillId="0" borderId="0" xfId="0" applyNumberFormat="1" applyAlignment="1">
      <alignment wrapText="1"/>
    </xf>
    <xf numFmtId="4" fontId="0" fillId="0" borderId="0" xfId="0" applyNumberFormat="1"/>
    <xf numFmtId="0" fontId="9" fillId="0" borderId="0" xfId="0" quotePrefix="1" applyFont="1" applyFill="1" applyBorder="1" applyAlignment="1">
      <alignment horizontal="left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177" fontId="0" fillId="4" borderId="1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0" fontId="0" fillId="0" borderId="14" xfId="0" applyBorder="1" applyAlignment="1">
      <alignment horizontal="right"/>
    </xf>
  </cellXfs>
  <cellStyles count="5">
    <cellStyle name="Euro" xfId="1"/>
    <cellStyle name="Komma 2" xfId="3"/>
    <cellStyle name="Milliers" xfId="2" builtinId="3"/>
    <cellStyle name="Normal" xfId="0" builtinId="0"/>
    <cellStyle name="Standaard 2" xfId="4"/>
  </cellStyles>
  <dxfs count="8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48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  <border>
        <left/>
        <right style="thin">
          <color indexed="64"/>
        </right>
        <top/>
        <bottom style="thin">
          <color indexed="64"/>
        </bottom>
      </border>
    </dxf>
    <dxf>
      <fill>
        <patternFill>
          <bgColor indexed="44"/>
        </patternFill>
      </fill>
      <border>
        <left/>
        <right/>
        <top/>
        <bottom style="thin">
          <color indexed="64"/>
        </bottom>
      </border>
    </dxf>
    <dxf>
      <fill>
        <patternFill>
          <bgColor indexed="44"/>
        </patternFill>
      </fill>
      <border>
        <left style="thin">
          <color indexed="64"/>
        </left>
        <right/>
        <top/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0</xdr:row>
      <xdr:rowOff>0</xdr:rowOff>
    </xdr:from>
    <xdr:to>
      <xdr:col>9</xdr:col>
      <xdr:colOff>382288</xdr:colOff>
      <xdr:row>1</xdr:row>
      <xdr:rowOff>41273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59C8F1C6-132F-45EB-9540-728FB00C1DF1}"/>
            </a:ext>
          </a:extLst>
        </xdr:cNvPr>
        <xdr:cNvSpPr txBox="1">
          <a:spLocks noChangeArrowheads="1"/>
        </xdr:cNvSpPr>
      </xdr:nvSpPr>
      <xdr:spPr bwMode="auto">
        <a:xfrm>
          <a:off x="2286000" y="0"/>
          <a:ext cx="31242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&lt;-- in te vullen op werkblad berekening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AH41"/>
  <sheetViews>
    <sheetView showGridLines="0" showRowColHeaders="0" tabSelected="1" zoomScale="80" workbookViewId="0">
      <selection activeCell="AA28" sqref="AA28"/>
    </sheetView>
  </sheetViews>
  <sheetFormatPr baseColWidth="10" defaultRowHeight="12.5" x14ac:dyDescent="0.25"/>
  <cols>
    <col min="1" max="1" width="17" customWidth="1"/>
    <col min="2" max="2" width="13.90625" customWidth="1"/>
    <col min="3" max="3" width="10.453125" customWidth="1"/>
    <col min="4" max="4" width="10" customWidth="1"/>
    <col min="5" max="5" width="10.90625" bestFit="1" customWidth="1"/>
    <col min="6" max="6" width="3" customWidth="1"/>
    <col min="7" max="7" width="8.6328125" customWidth="1"/>
    <col min="8" max="8" width="11.90625" customWidth="1"/>
    <col min="9" max="9" width="15.453125" customWidth="1"/>
    <col min="10" max="10" width="9.90625" bestFit="1" customWidth="1"/>
    <col min="11" max="11" width="9.90625" style="9" bestFit="1" customWidth="1"/>
    <col min="12" max="12" width="9.90625" bestFit="1" customWidth="1"/>
    <col min="13" max="15" width="9.08984375" customWidth="1"/>
    <col min="16" max="16" width="8.90625" customWidth="1"/>
    <col min="17" max="17" width="12.36328125" hidden="1" customWidth="1"/>
    <col min="18" max="18" width="8.36328125" hidden="1" customWidth="1"/>
    <col min="19" max="19" width="13.36328125" hidden="1" customWidth="1"/>
    <col min="20" max="20" width="10" hidden="1" customWidth="1"/>
    <col min="21" max="21" width="10.54296875" hidden="1" customWidth="1"/>
    <col min="22" max="22" width="7.6328125" hidden="1" customWidth="1"/>
    <col min="23" max="23" width="9.453125" hidden="1" customWidth="1"/>
    <col min="24" max="24" width="8.453125" hidden="1" customWidth="1"/>
    <col min="25" max="25" width="0" hidden="1" customWidth="1"/>
    <col min="26" max="256" width="8.7265625" customWidth="1"/>
  </cols>
  <sheetData>
    <row r="1" spans="1:34" ht="13" x14ac:dyDescent="0.3">
      <c r="A1" s="130" t="s">
        <v>258</v>
      </c>
      <c r="B1" s="340"/>
      <c r="C1" s="127"/>
      <c r="D1" s="131" t="s">
        <v>55</v>
      </c>
      <c r="E1" s="134">
        <v>44440</v>
      </c>
      <c r="F1" s="275"/>
      <c r="G1" s="140"/>
      <c r="H1" s="140"/>
      <c r="I1" s="140"/>
      <c r="J1" s="140"/>
      <c r="K1" s="140"/>
      <c r="L1" s="141"/>
      <c r="M1" s="51"/>
      <c r="Q1" s="104" t="s">
        <v>32</v>
      </c>
      <c r="S1" s="132" t="s">
        <v>35</v>
      </c>
      <c r="T1" s="132"/>
      <c r="U1" s="133">
        <f>J21</f>
        <v>0</v>
      </c>
      <c r="X1">
        <f>B1</f>
        <v>0</v>
      </c>
    </row>
    <row r="2" spans="1:34" ht="13" x14ac:dyDescent="0.3">
      <c r="A2" s="256" t="s">
        <v>21</v>
      </c>
      <c r="B2" s="257"/>
      <c r="C2" s="258"/>
      <c r="D2" s="259" t="str">
        <f>"instelling "&amp;'IT inst'!D1&amp;"?"</f>
        <v>instelling IT -28%?</v>
      </c>
      <c r="E2" s="260" t="s">
        <v>221</v>
      </c>
      <c r="F2" s="142" t="s">
        <v>222</v>
      </c>
      <c r="G2" s="143"/>
      <c r="H2" s="143"/>
      <c r="I2" s="276"/>
      <c r="J2" s="143"/>
      <c r="K2" s="143"/>
      <c r="L2" s="144"/>
      <c r="M2" s="51"/>
      <c r="Q2" s="126">
        <f>IF(B2&lt;3,'bedragen op'!C12,'bedragen op'!C13)</f>
        <v>1000000</v>
      </c>
      <c r="S2" s="132" t="s">
        <v>36</v>
      </c>
      <c r="T2" s="132"/>
      <c r="U2" s="133">
        <f>'bedragen op'!C15</f>
        <v>20421.169999999998</v>
      </c>
      <c r="X2" s="1">
        <f>E7</f>
        <v>0</v>
      </c>
      <c r="AH2" t="b">
        <f>'vrijst arbeid ivt 7_06'!D2=TRUE</f>
        <v>1</v>
      </c>
    </row>
    <row r="3" spans="1:34" ht="13" x14ac:dyDescent="0.3">
      <c r="B3" s="254"/>
      <c r="C3" s="19"/>
      <c r="D3" s="255" t="s">
        <v>192</v>
      </c>
      <c r="E3" s="310" t="s">
        <v>221</v>
      </c>
      <c r="F3" s="142" t="s">
        <v>224</v>
      </c>
      <c r="G3" s="143"/>
      <c r="H3" s="143"/>
      <c r="I3" s="143"/>
      <c r="J3" s="143"/>
      <c r="K3" s="143"/>
      <c r="L3" s="144"/>
      <c r="M3" s="51"/>
      <c r="Q3" s="13"/>
      <c r="S3" s="132"/>
      <c r="T3" s="132"/>
      <c r="U3" s="133"/>
      <c r="X3" t="b">
        <f>IF(AND(X1&lt;&gt;"c",X2&gt;0),FALSE,TRUE)</f>
        <v>1</v>
      </c>
    </row>
    <row r="4" spans="1:34" x14ac:dyDescent="0.25">
      <c r="A4" s="372" t="s">
        <v>148</v>
      </c>
      <c r="B4" s="252" t="s">
        <v>149</v>
      </c>
      <c r="C4" s="252"/>
      <c r="D4" s="252"/>
      <c r="E4" s="253"/>
      <c r="F4" s="143" t="s">
        <v>225</v>
      </c>
      <c r="G4" s="143"/>
      <c r="H4" s="143"/>
      <c r="I4" s="143"/>
      <c r="J4" s="143"/>
      <c r="K4" s="143"/>
      <c r="L4" s="144"/>
      <c r="M4" s="51"/>
      <c r="S4" s="132" t="s">
        <v>37</v>
      </c>
      <c r="T4" s="132"/>
      <c r="U4" s="133">
        <f>'bedragen op'!C16</f>
        <v>3403.04</v>
      </c>
    </row>
    <row r="5" spans="1:34" x14ac:dyDescent="0.25">
      <c r="A5" s="373"/>
      <c r="B5" s="26" t="s">
        <v>150</v>
      </c>
      <c r="C5" s="26"/>
      <c r="D5" s="26"/>
      <c r="E5" s="135"/>
      <c r="F5" s="143"/>
      <c r="G5" s="143"/>
      <c r="H5" s="276"/>
      <c r="I5" s="143"/>
      <c r="J5" s="143"/>
      <c r="K5" s="143"/>
      <c r="L5" s="144"/>
      <c r="M5" s="51"/>
      <c r="S5" s="132" t="s">
        <v>38</v>
      </c>
      <c r="T5" s="132"/>
      <c r="U5" s="132" t="b">
        <f>U1&gt;U2</f>
        <v>0</v>
      </c>
    </row>
    <row r="6" spans="1:34" x14ac:dyDescent="0.25">
      <c r="A6" s="374"/>
      <c r="B6" s="128" t="s">
        <v>151</v>
      </c>
      <c r="C6" s="128"/>
      <c r="D6" s="128"/>
      <c r="E6" s="136"/>
      <c r="F6" s="142"/>
      <c r="G6" s="276"/>
      <c r="H6" s="143"/>
      <c r="I6" s="143"/>
      <c r="J6" s="143"/>
      <c r="K6" s="143"/>
      <c r="L6" s="144"/>
      <c r="M6" s="51"/>
      <c r="S6" s="132" t="s">
        <v>39</v>
      </c>
      <c r="T6" s="132"/>
      <c r="U6" s="132" t="b">
        <f>U1&lt;U2</f>
        <v>1</v>
      </c>
    </row>
    <row r="7" spans="1:34" ht="13" x14ac:dyDescent="0.25">
      <c r="A7" s="375" t="s">
        <v>72</v>
      </c>
      <c r="B7" s="376"/>
      <c r="C7" s="376"/>
      <c r="D7" s="376"/>
      <c r="E7" s="137"/>
      <c r="F7" s="143"/>
      <c r="G7" s="276"/>
      <c r="H7" s="276"/>
      <c r="I7" s="143"/>
      <c r="J7" s="143"/>
      <c r="K7" s="143"/>
      <c r="L7" s="144"/>
      <c r="M7" s="51"/>
      <c r="S7" s="132" t="s">
        <v>40</v>
      </c>
      <c r="T7" s="132"/>
      <c r="U7" s="133">
        <f>IF(U5=FALSE,0,U1-U2)</f>
        <v>0</v>
      </c>
    </row>
    <row r="8" spans="1:34" ht="13" x14ac:dyDescent="0.3">
      <c r="A8" s="377" t="s">
        <v>143</v>
      </c>
      <c r="B8" s="378"/>
      <c r="C8" s="378"/>
      <c r="D8" s="378"/>
      <c r="E8" s="138"/>
      <c r="F8" s="142" t="s">
        <v>259</v>
      </c>
      <c r="G8" s="143"/>
      <c r="H8" s="143"/>
      <c r="I8" s="143"/>
      <c r="J8" s="143"/>
      <c r="K8" s="143"/>
      <c r="L8" s="144"/>
      <c r="M8" s="51"/>
      <c r="S8" s="132" t="s">
        <v>26</v>
      </c>
      <c r="T8" s="132"/>
      <c r="U8" s="133">
        <f>U4-U7</f>
        <v>3403.04</v>
      </c>
    </row>
    <row r="9" spans="1:34" ht="15" customHeight="1" x14ac:dyDescent="0.3">
      <c r="A9" s="379" t="s">
        <v>144</v>
      </c>
      <c r="B9" s="380"/>
      <c r="C9" s="380"/>
      <c r="D9" s="380"/>
      <c r="E9" s="139"/>
      <c r="F9" s="142" t="s">
        <v>223</v>
      </c>
      <c r="G9" s="143"/>
      <c r="H9" s="143"/>
      <c r="I9" s="143"/>
      <c r="J9" s="143"/>
      <c r="K9" s="143"/>
      <c r="L9" s="144"/>
      <c r="M9" s="51"/>
      <c r="U9" s="1"/>
    </row>
    <row r="10" spans="1:34" ht="11.25" customHeight="1" x14ac:dyDescent="0.25">
      <c r="D10" s="124"/>
      <c r="F10" s="145"/>
      <c r="G10" s="146"/>
      <c r="H10" s="146"/>
      <c r="I10" s="146"/>
      <c r="J10" s="146"/>
      <c r="K10" s="146"/>
      <c r="L10" s="147"/>
      <c r="M10" s="51"/>
      <c r="U10" s="1"/>
    </row>
    <row r="11" spans="1:34" ht="13" x14ac:dyDescent="0.3">
      <c r="A11" s="382" t="s">
        <v>24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12"/>
      <c r="N11" s="12"/>
      <c r="P11" s="1"/>
      <c r="S11" t="str">
        <f>"vrijstelling (arbeidsvrijstelling &lt;"&amp;U2&amp;")"</f>
        <v>vrijstelling (arbeidsvrijstelling &lt;20421,17)</v>
      </c>
    </row>
    <row r="12" spans="1:34" ht="13" x14ac:dyDescent="0.3">
      <c r="A12" s="383" t="s">
        <v>1</v>
      </c>
      <c r="B12" s="383"/>
      <c r="C12" s="383"/>
      <c r="D12" s="383"/>
      <c r="E12" s="383"/>
      <c r="F12" s="14" t="s">
        <v>44</v>
      </c>
      <c r="G12" s="383" t="s">
        <v>5</v>
      </c>
      <c r="H12" s="383"/>
      <c r="I12" s="383"/>
      <c r="J12" s="383"/>
      <c r="K12" s="383"/>
      <c r="L12" s="383"/>
      <c r="S12" t="str">
        <f>"vrijstelling="&amp;U4&amp;"-("&amp;U1&amp;"-"&amp;U2&amp;")"</f>
        <v>vrijstelling=3403,04-(0-20421,17)</v>
      </c>
    </row>
    <row r="13" spans="1:34" ht="13" x14ac:dyDescent="0.3">
      <c r="A13" s="203" t="s">
        <v>25</v>
      </c>
      <c r="B13" s="204"/>
      <c r="C13" s="204"/>
      <c r="D13" s="204"/>
      <c r="E13" s="205" t="e">
        <f>VLOOKUP(B1,'bedragen op'!B2:C4,2,0)</f>
        <v>#N/A</v>
      </c>
      <c r="F13" s="206" t="s">
        <v>44</v>
      </c>
      <c r="G13" s="203" t="s">
        <v>25</v>
      </c>
      <c r="H13" s="204"/>
      <c r="I13" s="204"/>
      <c r="J13" s="204"/>
      <c r="K13" s="204"/>
      <c r="L13" s="205">
        <f>IF(B2=0,0,VLOOKUP(B2,'bedragen op'!B5:C9,2,0))</f>
        <v>0</v>
      </c>
    </row>
    <row r="14" spans="1:34" x14ac:dyDescent="0.25">
      <c r="A14" s="207"/>
      <c r="B14" s="207"/>
      <c r="C14" s="207"/>
      <c r="D14" s="207"/>
      <c r="E14" s="208"/>
      <c r="F14" s="206" t="s">
        <v>44</v>
      </c>
      <c r="G14" s="209"/>
      <c r="H14" s="209"/>
      <c r="I14" s="210"/>
      <c r="J14" s="209"/>
      <c r="K14" s="209"/>
      <c r="L14" s="209"/>
      <c r="Q14" t="s">
        <v>42</v>
      </c>
      <c r="S14" s="1"/>
    </row>
    <row r="15" spans="1:34" ht="13" x14ac:dyDescent="0.3">
      <c r="A15" s="211" t="s">
        <v>72</v>
      </c>
      <c r="B15" s="207"/>
      <c r="C15" s="212">
        <f>E7</f>
        <v>0</v>
      </c>
      <c r="D15" s="207"/>
      <c r="E15" s="208"/>
      <c r="F15" s="206" t="s">
        <v>44</v>
      </c>
      <c r="G15" s="211" t="str">
        <f>A15</f>
        <v>inkomsten partner</v>
      </c>
      <c r="H15" s="207"/>
      <c r="I15" s="213"/>
      <c r="J15" s="212">
        <f>E7</f>
        <v>0</v>
      </c>
      <c r="K15" s="207"/>
      <c r="L15" s="208"/>
      <c r="P15" s="1"/>
      <c r="Q15" t="s">
        <v>43</v>
      </c>
      <c r="S15" s="1">
        <f>J21</f>
        <v>0</v>
      </c>
    </row>
    <row r="16" spans="1:34" x14ac:dyDescent="0.25">
      <c r="A16" s="214" t="str">
        <f>"vrijstelling (max:"&amp;'bedragen op'!C10&amp;")"</f>
        <v>vrijstelling (max:4099,26)</v>
      </c>
      <c r="B16" s="215"/>
      <c r="C16" s="216">
        <f>IF('bedrag en vrijstellingen'!H7&lt;C15,'bedrag en vrijstellingen'!H7,berekening!C15)</f>
        <v>0</v>
      </c>
      <c r="D16" s="215"/>
      <c r="E16" s="217"/>
      <c r="F16" s="206" t="s">
        <v>44</v>
      </c>
      <c r="G16" s="214" t="str">
        <f>ink_partner!G2</f>
        <v>vrijstelling(max1.000.000,00)</v>
      </c>
      <c r="H16" s="215"/>
      <c r="I16" s="218"/>
      <c r="J16" s="216">
        <f>ink_partner!G3</f>
        <v>0</v>
      </c>
      <c r="K16" s="215"/>
      <c r="L16" s="217"/>
      <c r="P16" s="1"/>
      <c r="S16" s="1">
        <f>J26</f>
        <v>0</v>
      </c>
    </row>
    <row r="17" spans="1:20" x14ac:dyDescent="0.25">
      <c r="A17" s="219" t="s">
        <v>29</v>
      </c>
      <c r="B17" s="220"/>
      <c r="C17" s="220"/>
      <c r="D17" s="221">
        <f>IF(C15&gt;=C16,C15-C16,0)</f>
        <v>0</v>
      </c>
      <c r="E17" s="222"/>
      <c r="F17" s="206" t="s">
        <v>44</v>
      </c>
      <c r="G17" s="214" t="s">
        <v>33</v>
      </c>
      <c r="H17" s="215"/>
      <c r="I17" s="218"/>
      <c r="J17" s="216">
        <f>ink_partner!G4</f>
        <v>0</v>
      </c>
      <c r="K17" s="215"/>
      <c r="L17" s="217"/>
      <c r="P17" s="1"/>
      <c r="S17" s="1"/>
    </row>
    <row r="18" spans="1:20" x14ac:dyDescent="0.25">
      <c r="A18" s="209"/>
      <c r="B18" s="209"/>
      <c r="C18" s="209"/>
      <c r="D18" s="209"/>
      <c r="E18" s="223"/>
      <c r="F18" s="206" t="s">
        <v>44</v>
      </c>
      <c r="G18" s="219"/>
      <c r="H18" s="224"/>
      <c r="I18" s="225" t="str">
        <f>ink_partner!G5</f>
        <v>af te trekken (saldo/2)</v>
      </c>
      <c r="J18" s="226" t="str">
        <f>ink_partner!G6</f>
        <v xml:space="preserve"> </v>
      </c>
      <c r="K18" s="221">
        <f>ink_partner!G7</f>
        <v>0</v>
      </c>
      <c r="L18" s="222"/>
    </row>
    <row r="19" spans="1:20" ht="13" x14ac:dyDescent="0.3">
      <c r="A19" s="211" t="s">
        <v>27</v>
      </c>
      <c r="B19" s="207"/>
      <c r="C19" s="212">
        <f>E4</f>
        <v>0</v>
      </c>
      <c r="D19" s="207"/>
      <c r="E19" s="208"/>
      <c r="F19" s="206" t="s">
        <v>44</v>
      </c>
      <c r="G19" s="209"/>
      <c r="H19" s="209"/>
      <c r="I19" s="210"/>
      <c r="J19" s="209"/>
      <c r="K19" s="209"/>
      <c r="L19" s="209"/>
      <c r="S19" s="54" t="s">
        <v>102</v>
      </c>
      <c r="T19" s="55" t="e">
        <f>VLOOKUP(B1,'bedragen op'!B17:C19,2,0)</f>
        <v>#N/A</v>
      </c>
    </row>
    <row r="20" spans="1:20" ht="13" x14ac:dyDescent="0.3">
      <c r="A20" s="214" t="str">
        <f>IF('vrijst arbeid ivt 7_06'!D2=TRUE,'vrijst arbeid ivt 7_06'!B16,'vrijst arbeid ivt 7_06'!B15)</f>
        <v>vrijstelling</v>
      </c>
      <c r="B20" s="303" t="s">
        <v>41</v>
      </c>
      <c r="C20" s="216">
        <f>'vrijst arbeid ivt 7_06'!B12</f>
        <v>0</v>
      </c>
      <c r="D20" s="215"/>
      <c r="E20" s="217"/>
      <c r="F20" s="206" t="s">
        <v>44</v>
      </c>
      <c r="G20" s="211" t="str">
        <f>A19</f>
        <v xml:space="preserve">arbeidsinkomsten </v>
      </c>
      <c r="H20" s="207"/>
      <c r="I20" s="213"/>
      <c r="J20" s="212">
        <f>E4</f>
        <v>0</v>
      </c>
      <c r="K20" s="207"/>
      <c r="L20" s="208"/>
      <c r="S20" s="56" t="s">
        <v>104</v>
      </c>
      <c r="T20" s="57">
        <f>J21+J26</f>
        <v>0</v>
      </c>
    </row>
    <row r="21" spans="1:20" ht="13" thickBot="1" x14ac:dyDescent="0.3">
      <c r="A21" s="311" t="str">
        <f>IF('vrijst arbeid ivt 7_06'!D2=TRUE,'vrijst arbeid ivt 7_06'!G19,"")</f>
        <v>50% van  schijf van 0,00 tot 5 174,22</v>
      </c>
      <c r="B21" s="228"/>
      <c r="C21" s="228"/>
      <c r="D21" s="228"/>
      <c r="E21" s="217"/>
      <c r="F21" s="206" t="s">
        <v>44</v>
      </c>
      <c r="G21" s="214" t="str">
        <f>"vrijstelling (max "&amp;'bedrag en vrijstellingen'!H14&amp;")"</f>
        <v>vrijstelling (max 23824,7)</v>
      </c>
      <c r="H21" s="215"/>
      <c r="I21" s="218"/>
      <c r="J21" s="216">
        <f>IF(J20&gt;='bedrag en vrijstellingen'!H14,'bedrag en vrijstellingen'!H14,berekening!J20)</f>
        <v>0</v>
      </c>
      <c r="K21" s="215"/>
      <c r="L21" s="217"/>
      <c r="S21" s="56" t="s">
        <v>28</v>
      </c>
      <c r="T21" s="57" t="e">
        <f>T19-T20</f>
        <v>#N/A</v>
      </c>
    </row>
    <row r="22" spans="1:20" x14ac:dyDescent="0.25">
      <c r="A22" s="311" t="str">
        <f>IF('vrijst arbeid ivt 7_06'!D2=TRUE,'vrijst arbeid ivt 7_06'!G20,"")</f>
        <v>25%  van schijf van 5 174,23 tot 7 761,32</v>
      </c>
      <c r="B22" s="228"/>
      <c r="C22" s="228"/>
      <c r="D22" s="228"/>
      <c r="E22" s="217"/>
      <c r="F22" s="206" t="s">
        <v>44</v>
      </c>
      <c r="G22" s="214" t="s">
        <v>33</v>
      </c>
      <c r="H22" s="215"/>
      <c r="I22" s="218"/>
      <c r="J22" s="216">
        <f>J20-J21</f>
        <v>0</v>
      </c>
      <c r="K22" s="215"/>
      <c r="L22" s="217"/>
      <c r="S22" s="58"/>
      <c r="T22" s="59" t="e">
        <f>IF(T21&lt;0,0,T21)</f>
        <v>#N/A</v>
      </c>
    </row>
    <row r="23" spans="1:20" x14ac:dyDescent="0.25">
      <c r="A23" s="219" t="s">
        <v>29</v>
      </c>
      <c r="B23" s="220"/>
      <c r="C23" s="227"/>
      <c r="D23" s="221">
        <f>C19-C20</f>
        <v>0</v>
      </c>
      <c r="E23" s="222"/>
      <c r="F23" s="206" t="s">
        <v>44</v>
      </c>
      <c r="G23" s="219"/>
      <c r="H23" s="220"/>
      <c r="I23" s="225" t="s">
        <v>34</v>
      </c>
      <c r="J23" s="227"/>
      <c r="K23" s="221">
        <f>J22*0.5</f>
        <v>0</v>
      </c>
      <c r="L23" s="222"/>
      <c r="S23" s="60"/>
      <c r="T23" s="61"/>
    </row>
    <row r="24" spans="1:20" x14ac:dyDescent="0.25">
      <c r="A24" s="209"/>
      <c r="B24" s="209"/>
      <c r="C24" s="209"/>
      <c r="D24" s="209"/>
      <c r="E24" s="223"/>
      <c r="F24" s="206" t="s">
        <v>44</v>
      </c>
      <c r="G24" s="209"/>
      <c r="H24" s="209"/>
      <c r="I24" s="210"/>
      <c r="J24" s="209"/>
      <c r="K24" s="209"/>
      <c r="L24" s="209"/>
      <c r="S24" s="56" t="s">
        <v>103</v>
      </c>
      <c r="T24" s="57">
        <f>J33</f>
        <v>0</v>
      </c>
    </row>
    <row r="25" spans="1:20" ht="13" x14ac:dyDescent="0.3">
      <c r="A25" s="211" t="s">
        <v>23</v>
      </c>
      <c r="B25" s="207"/>
      <c r="C25" s="212">
        <f>E5+E6</f>
        <v>0</v>
      </c>
      <c r="D25" s="207"/>
      <c r="E25" s="208"/>
      <c r="F25" s="206" t="s">
        <v>44</v>
      </c>
      <c r="G25" s="211" t="s">
        <v>13</v>
      </c>
      <c r="H25" s="207"/>
      <c r="I25" s="213"/>
      <c r="J25" s="212">
        <f>E5</f>
        <v>0</v>
      </c>
      <c r="K25" s="207"/>
      <c r="L25" s="208"/>
      <c r="S25" s="62" t="s">
        <v>105</v>
      </c>
      <c r="T25" s="63" t="e">
        <f>IF(T24-T22&lt;0,0,T24-T22)</f>
        <v>#N/A</v>
      </c>
    </row>
    <row r="26" spans="1:20" x14ac:dyDescent="0.25">
      <c r="A26" s="214" t="str">
        <f>"vrijstelling (max"&amp;'bedrag en vrijstellingen'!H8&amp;")"</f>
        <v>vrijstelling (max728,4)</v>
      </c>
      <c r="B26" s="215"/>
      <c r="C26" s="216">
        <f>IF('bedrag en vrijstellingen'!H8&gt;C25,C25,'bedrag en vrijstellingen'!H8)</f>
        <v>0</v>
      </c>
      <c r="D26" s="215"/>
      <c r="E26" s="217"/>
      <c r="F26" s="206" t="s">
        <v>44</v>
      </c>
      <c r="G26" s="214" t="str">
        <f>IF(U6=TRUE,S11,S12)</f>
        <v>vrijstelling (arbeidsvrijstelling &lt;20421,17)</v>
      </c>
      <c r="H26" s="229"/>
      <c r="I26" s="218"/>
      <c r="J26" s="216">
        <f>IF(IF(J25&lt;U8,J25,U8)&lt;0,0,IF(J25&lt;U8,J25,U8))</f>
        <v>0</v>
      </c>
      <c r="K26" s="215"/>
      <c r="L26" s="217"/>
    </row>
    <row r="27" spans="1:20" x14ac:dyDescent="0.25">
      <c r="A27" s="219" t="s">
        <v>29</v>
      </c>
      <c r="B27" s="220"/>
      <c r="C27" s="220"/>
      <c r="D27" s="221">
        <f>IF(C25&gt;=C26,C25-C26,0)</f>
        <v>0</v>
      </c>
      <c r="E27" s="222"/>
      <c r="F27" s="206" t="s">
        <v>44</v>
      </c>
      <c r="G27" s="219" t="s">
        <v>155</v>
      </c>
      <c r="H27" s="227"/>
      <c r="I27" s="227"/>
      <c r="J27" s="221">
        <f>J25-J26</f>
        <v>0</v>
      </c>
      <c r="K27" s="220" t="str">
        <f>IF(K18="(A)","(B)","(A)")</f>
        <v>(A)</v>
      </c>
      <c r="L27" s="222"/>
      <c r="Q27" t="b">
        <f>ISNUMBER(K18)</f>
        <v>1</v>
      </c>
    </row>
    <row r="28" spans="1:20" x14ac:dyDescent="0.25">
      <c r="A28" s="228"/>
      <c r="B28" s="228"/>
      <c r="C28" s="228"/>
      <c r="D28" s="228"/>
      <c r="E28" s="228"/>
      <c r="F28" s="206" t="s">
        <v>44</v>
      </c>
      <c r="G28" s="209"/>
      <c r="H28" s="233"/>
      <c r="I28" s="210"/>
      <c r="J28" s="209"/>
      <c r="K28" s="209"/>
      <c r="L28" s="209"/>
    </row>
    <row r="29" spans="1:20" ht="13" x14ac:dyDescent="0.3">
      <c r="A29" s="230" t="s">
        <v>147</v>
      </c>
      <c r="B29" s="209"/>
      <c r="C29" s="209"/>
      <c r="D29" s="231">
        <f>E8</f>
        <v>0</v>
      </c>
      <c r="E29" s="223"/>
      <c r="F29" s="206" t="s">
        <v>44</v>
      </c>
      <c r="G29" s="211" t="s">
        <v>23</v>
      </c>
      <c r="H29" s="234"/>
      <c r="I29" s="213"/>
      <c r="J29" s="232"/>
      <c r="K29" s="207"/>
      <c r="L29" s="208"/>
    </row>
    <row r="30" spans="1:20" x14ac:dyDescent="0.25">
      <c r="A30" s="213"/>
      <c r="B30" s="213"/>
      <c r="C30" s="213"/>
      <c r="D30" s="232"/>
      <c r="E30" s="213"/>
      <c r="F30" s="206" t="s">
        <v>44</v>
      </c>
      <c r="G30" s="214" t="s">
        <v>152</v>
      </c>
      <c r="H30" s="215"/>
      <c r="I30" s="215"/>
      <c r="J30" s="216">
        <f>E6</f>
        <v>0</v>
      </c>
      <c r="K30" s="218"/>
      <c r="L30" s="217"/>
    </row>
    <row r="31" spans="1:20" ht="13" x14ac:dyDescent="0.3">
      <c r="A31" s="235" t="s">
        <v>31</v>
      </c>
      <c r="B31" s="204"/>
      <c r="C31" s="204"/>
      <c r="D31" s="204"/>
      <c r="E31" s="205">
        <f>D27+D23+D17+D29</f>
        <v>0</v>
      </c>
      <c r="F31" s="206" t="s">
        <v>44</v>
      </c>
      <c r="G31" s="214" t="s">
        <v>73</v>
      </c>
      <c r="H31" s="215"/>
      <c r="I31" s="218"/>
      <c r="J31" s="216">
        <f>J27</f>
        <v>0</v>
      </c>
      <c r="K31" s="215" t="str">
        <f>K27</f>
        <v>(A)</v>
      </c>
      <c r="L31" s="217"/>
    </row>
    <row r="32" spans="1:20" x14ac:dyDescent="0.25">
      <c r="A32" s="228"/>
      <c r="B32" s="228"/>
      <c r="C32" s="228"/>
      <c r="D32" s="312" t="e">
        <f>IF('2x cat C'!B9=TRUE,"verschil","")</f>
        <v>#N/A</v>
      </c>
      <c r="E32" s="313" t="e">
        <f>IF('2x cat C'!B9=TRUE,'2x cat C'!B4,"")</f>
        <v>#N/A</v>
      </c>
      <c r="F32" s="206" t="s">
        <v>44</v>
      </c>
      <c r="G32" s="214" t="str">
        <f>ink_partner!G8</f>
        <v/>
      </c>
      <c r="H32" s="215"/>
      <c r="I32" s="218"/>
      <c r="J32" s="216" t="str">
        <f>ink_partner!G9</f>
        <v/>
      </c>
      <c r="K32" s="215" t="str">
        <f>ink_partner!G10</f>
        <v/>
      </c>
      <c r="L32" s="217"/>
    </row>
    <row r="33" spans="1:12" x14ac:dyDescent="0.25">
      <c r="A33" s="314" t="e">
        <f>IF('2x cat C'!$B$9=TRUE,'2x cat C'!B15,"")</f>
        <v>#N/A</v>
      </c>
      <c r="B33" s="228"/>
      <c r="C33" s="228"/>
      <c r="D33" s="228"/>
      <c r="E33" s="228"/>
      <c r="F33" s="206" t="s">
        <v>44</v>
      </c>
      <c r="G33" s="236" t="s">
        <v>41</v>
      </c>
      <c r="H33" s="215"/>
      <c r="I33" s="215"/>
      <c r="J33" s="216">
        <f>SUM(J30:J32)</f>
        <v>0</v>
      </c>
      <c r="K33" s="218"/>
      <c r="L33" s="217"/>
    </row>
    <row r="34" spans="1:12" x14ac:dyDescent="0.25">
      <c r="A34" s="314" t="e">
        <f>IF('2x cat C'!$B$9=TRUE,'2x cat C'!B16,"")</f>
        <v>#N/A</v>
      </c>
      <c r="B34" s="237"/>
      <c r="C34" s="238"/>
      <c r="D34" s="228"/>
      <c r="E34" s="228"/>
      <c r="F34" s="206" t="s">
        <v>44</v>
      </c>
      <c r="G34" s="214" t="s">
        <v>26</v>
      </c>
      <c r="H34" s="215" t="e">
        <f>"max "&amp;T19&amp;"-("&amp;S15&amp;"+"&amp;S16&amp;")"</f>
        <v>#N/A</v>
      </c>
      <c r="I34" s="218"/>
      <c r="J34" s="239" t="e">
        <f>IF(J33&gt;=T22,T22,J33)</f>
        <v>#N/A</v>
      </c>
      <c r="K34" s="215"/>
      <c r="L34" s="217"/>
    </row>
    <row r="35" spans="1:12" ht="13" x14ac:dyDescent="0.3">
      <c r="A35" s="235" t="e">
        <f>IF('2x cat C'!B9=TRUE,'2x cat C'!B14,'2x cat C'!B13)</f>
        <v>#N/A</v>
      </c>
      <c r="B35" s="203"/>
      <c r="C35" s="203"/>
      <c r="D35" s="203"/>
      <c r="E35" s="205" t="e">
        <f>IF('2x cat C'!B9=FALSE,IF(E13-E31&gt;0,E13-E31,0),'2x cat C'!B3)</f>
        <v>#N/A</v>
      </c>
      <c r="F35" s="206" t="s">
        <v>44</v>
      </c>
      <c r="G35" s="240" t="s">
        <v>28</v>
      </c>
      <c r="H35" s="220"/>
      <c r="I35" s="227" t="s">
        <v>29</v>
      </c>
      <c r="J35" s="241"/>
      <c r="K35" s="221" t="e">
        <f>T25</f>
        <v>#N/A</v>
      </c>
      <c r="L35" s="222"/>
    </row>
    <row r="36" spans="1:12" x14ac:dyDescent="0.25">
      <c r="A36" s="228"/>
      <c r="B36" s="228"/>
      <c r="C36" s="228"/>
      <c r="D36" s="228"/>
      <c r="E36" s="228"/>
      <c r="F36" s="206" t="s">
        <v>44</v>
      </c>
      <c r="G36" s="228"/>
      <c r="H36" s="228"/>
      <c r="I36" s="228"/>
      <c r="J36" s="242"/>
      <c r="K36" s="242"/>
      <c r="L36" s="228"/>
    </row>
    <row r="37" spans="1:12" ht="13" x14ac:dyDescent="0.3">
      <c r="A37" s="228"/>
      <c r="B37" s="228"/>
      <c r="C37" s="228"/>
      <c r="D37" s="228"/>
      <c r="E37" s="228"/>
      <c r="F37" s="206" t="s">
        <v>44</v>
      </c>
      <c r="G37" s="243" t="s">
        <v>147</v>
      </c>
      <c r="H37" s="209"/>
      <c r="I37" s="209"/>
      <c r="J37" s="209"/>
      <c r="K37" s="231">
        <f>E9</f>
        <v>0</v>
      </c>
      <c r="L37" s="223"/>
    </row>
    <row r="38" spans="1:12" x14ac:dyDescent="0.25">
      <c r="A38" s="228"/>
      <c r="B38" s="228"/>
      <c r="C38" s="228"/>
      <c r="D38" s="228"/>
      <c r="E38" s="228"/>
      <c r="F38" s="206" t="s">
        <v>44</v>
      </c>
      <c r="G38" s="228"/>
      <c r="H38" s="228"/>
      <c r="I38" s="228"/>
      <c r="J38" s="228"/>
      <c r="K38" s="242"/>
      <c r="L38" s="228"/>
    </row>
    <row r="39" spans="1:12" ht="13" x14ac:dyDescent="0.3">
      <c r="A39" s="228"/>
      <c r="B39" s="228"/>
      <c r="C39" s="228"/>
      <c r="D39" s="228"/>
      <c r="E39" s="228"/>
      <c r="F39" s="206" t="s">
        <v>44</v>
      </c>
      <c r="G39" s="235" t="s">
        <v>31</v>
      </c>
      <c r="H39" s="204"/>
      <c r="I39" s="204"/>
      <c r="J39" s="204"/>
      <c r="K39" s="204"/>
      <c r="L39" s="205" t="e">
        <f>IF(Q27=TRUE,K18+K23+K35+K37,K23+K35+K37)</f>
        <v>#N/A</v>
      </c>
    </row>
    <row r="40" spans="1:12" ht="13" x14ac:dyDescent="0.3">
      <c r="A40" s="244" t="s">
        <v>153</v>
      </c>
      <c r="B40" s="245"/>
      <c r="C40" s="245"/>
      <c r="D40" s="245"/>
      <c r="E40" s="246"/>
      <c r="F40" s="206" t="s">
        <v>44</v>
      </c>
      <c r="G40" s="235" t="s">
        <v>5</v>
      </c>
      <c r="H40" s="204"/>
      <c r="I40" s="204"/>
      <c r="J40" s="204"/>
      <c r="K40" s="204"/>
      <c r="L40" s="205" t="e">
        <f>IF(L13-L39&lt;0,0,L13-L39)</f>
        <v>#N/A</v>
      </c>
    </row>
    <row r="41" spans="1:12" ht="13" x14ac:dyDescent="0.3">
      <c r="A41" s="247" t="e">
        <f>E35+IF(E2="ja",L41,L40)</f>
        <v>#N/A</v>
      </c>
      <c r="B41" s="248" t="s">
        <v>74</v>
      </c>
      <c r="C41" s="249" t="e">
        <f>A41/12</f>
        <v>#N/A</v>
      </c>
      <c r="D41" s="248" t="s">
        <v>75</v>
      </c>
      <c r="E41" s="250"/>
      <c r="F41" s="206" t="s">
        <v>44</v>
      </c>
      <c r="G41" s="243" t="str">
        <f>IF(E2="ja",'IT inst'!D1,"")</f>
        <v/>
      </c>
      <c r="H41" s="381"/>
      <c r="I41" s="381"/>
      <c r="J41" s="381"/>
      <c r="K41" s="381"/>
      <c r="L41" s="251" t="str">
        <f>IF(E2="ja",L40/'IT inst'!B1*'IT inst'!C1,"")</f>
        <v/>
      </c>
    </row>
  </sheetData>
  <sheetProtection sheet="1"/>
  <mergeCells count="8">
    <mergeCell ref="A4:A6"/>
    <mergeCell ref="A7:D7"/>
    <mergeCell ref="A8:D8"/>
    <mergeCell ref="A9:D9"/>
    <mergeCell ref="H41:K41"/>
    <mergeCell ref="A11:L11"/>
    <mergeCell ref="A12:E12"/>
    <mergeCell ref="G12:L12"/>
  </mergeCells>
  <phoneticPr fontId="0" type="noConversion"/>
  <conditionalFormatting sqref="G41">
    <cfRule type="expression" dxfId="7" priority="1" stopIfTrue="1">
      <formula>$E$2="ja"</formula>
    </cfRule>
  </conditionalFormatting>
  <conditionalFormatting sqref="H41:K41">
    <cfRule type="expression" dxfId="6" priority="2" stopIfTrue="1">
      <formula>$E$2="ja"</formula>
    </cfRule>
  </conditionalFormatting>
  <conditionalFormatting sqref="L41">
    <cfRule type="expression" dxfId="5" priority="3" stopIfTrue="1">
      <formula>$E$2="ja"</formula>
    </cfRule>
  </conditionalFormatting>
  <conditionalFormatting sqref="K18">
    <cfRule type="expression" dxfId="4" priority="4" stopIfTrue="1">
      <formula>$B$2&gt;=3</formula>
    </cfRule>
  </conditionalFormatting>
  <conditionalFormatting sqref="J18">
    <cfRule type="expression" dxfId="3" priority="5" stopIfTrue="1">
      <formula>$B$2&lt;3</formula>
    </cfRule>
  </conditionalFormatting>
  <conditionalFormatting sqref="A21:C22">
    <cfRule type="expression" dxfId="2" priority="6" stopIfTrue="1">
      <formula>$AH$2</formula>
    </cfRule>
  </conditionalFormatting>
  <dataValidations count="5">
    <dataValidation type="custom" errorStyle="warning" allowBlank="1" showInputMessage="1" showErrorMessage="1" errorTitle="inkomsten partner!" error="Uw keuze is onlogisch,_x000a_inkomsten partner zijn enkel_x000a_mogelijk bij categorie C._x000a_" sqref="E7">
      <formula1>B1="c"</formula1>
    </dataValidation>
    <dataValidation type="custom" errorStyle="warning" allowBlank="1" showInputMessage="1" showErrorMessage="1" errorTitle="Categorie en inkomsten partner" error="Uw keuze is onlogisch._x000a_Er zijn inkomsten partner ingebracht, dan wordt een categorie C verwacht._x000a_Oplossing: _x000a_ of een andere categorie kiezen_x000a_ of de inkomsten partner wissen." sqref="B1">
      <formula1>X3=TRUE</formula1>
    </dataValidation>
    <dataValidation type="date" operator="greaterThanOrEqual" allowBlank="1" showInputMessage="1" showErrorMessage="1" errorTitle="Groter dan 1/7/2004" error="De berekening in deze regeling gaat slechts in vanaf 1/7/2004,_x000a_uw ingangsdatum moet groter zijn of gelijk aan 1/7/2004." sqref="E1">
      <formula1>38169</formula1>
    </dataValidation>
    <dataValidation type="list" allowBlank="1" showInputMessage="1" showErrorMessage="1" sqref="E2:E3">
      <formula1>"ja,nee"</formula1>
    </dataValidation>
    <dataValidation type="whole" allowBlank="1" showInputMessage="1" showErrorMessage="1" errorTitle="Categorie IT " error="Categorie IT mag niet groter zijn dan 5" sqref="B2">
      <formula1>0</formula1>
      <formula2>5</formula2>
    </dataValidation>
  </dataValidations>
  <printOptions horizontalCentered="1"/>
  <pageMargins left="0.19685039370078741" right="0.19685039370078741" top="0.37" bottom="0.98425196850393704" header="0.25" footer="0.51181102362204722"/>
  <pageSetup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>
      <selection activeCell="C15" sqref="C15"/>
    </sheetView>
  </sheetViews>
  <sheetFormatPr baseColWidth="10" defaultColWidth="11.453125" defaultRowHeight="12.5" x14ac:dyDescent="0.25"/>
  <cols>
    <col min="1" max="1" width="3.54296875" style="1" customWidth="1"/>
    <col min="2" max="2" width="5.6328125" style="1" customWidth="1"/>
    <col min="3" max="3" width="3.453125" style="1" customWidth="1"/>
    <col min="4" max="4" width="8.6328125" style="1" customWidth="1"/>
    <col min="5" max="5" width="12.6328125" style="1" customWidth="1"/>
    <col min="6" max="6" width="10.36328125" style="1" bestFit="1" customWidth="1"/>
    <col min="7" max="8" width="10.453125" style="1" customWidth="1"/>
    <col min="9" max="9" width="11.90625" style="1" customWidth="1"/>
    <col min="10" max="11" width="11.453125" style="1" customWidth="1"/>
    <col min="12" max="12" width="9.453125" style="1" bestFit="1" customWidth="1"/>
    <col min="13" max="16384" width="11.453125" style="1"/>
  </cols>
  <sheetData>
    <row r="1" spans="1:12" ht="17.5" x14ac:dyDescent="0.35">
      <c r="A1" s="155" t="s">
        <v>123</v>
      </c>
    </row>
    <row r="4" spans="1:12" ht="25" x14ac:dyDescent="0.25">
      <c r="A4" s="150"/>
      <c r="B4" s="183"/>
      <c r="C4" s="183"/>
      <c r="D4" s="183"/>
      <c r="E4" s="183"/>
      <c r="F4" s="183"/>
      <c r="G4" s="158"/>
      <c r="H4" s="186" t="s">
        <v>184</v>
      </c>
      <c r="I4" s="187" t="s">
        <v>29</v>
      </c>
    </row>
    <row r="5" spans="1:12" ht="13" x14ac:dyDescent="0.3">
      <c r="A5" s="168" t="s">
        <v>157</v>
      </c>
      <c r="B5" s="21"/>
      <c r="C5" s="21"/>
      <c r="D5" s="160"/>
      <c r="E5" s="21"/>
      <c r="F5" s="21"/>
      <c r="G5" s="157"/>
      <c r="H5" s="157"/>
      <c r="I5" s="157"/>
    </row>
    <row r="6" spans="1:12" x14ac:dyDescent="0.25">
      <c r="A6" s="170"/>
      <c r="B6" s="21" t="s">
        <v>158</v>
      </c>
      <c r="C6" s="21"/>
      <c r="D6" s="21"/>
      <c r="E6" s="21"/>
      <c r="F6" s="21"/>
      <c r="G6" s="157">
        <v>10000</v>
      </c>
      <c r="H6" s="157"/>
      <c r="I6" s="157"/>
    </row>
    <row r="7" spans="1:12" x14ac:dyDescent="0.25">
      <c r="A7" s="170"/>
      <c r="B7" s="21" t="s">
        <v>174</v>
      </c>
      <c r="C7" s="21"/>
      <c r="D7" s="161"/>
      <c r="E7" s="21"/>
      <c r="F7" s="21"/>
      <c r="G7" s="157">
        <v>1600</v>
      </c>
      <c r="H7" s="157"/>
      <c r="I7" s="157"/>
    </row>
    <row r="8" spans="1:12" x14ac:dyDescent="0.25">
      <c r="A8" s="170"/>
      <c r="B8" s="21" t="s">
        <v>175</v>
      </c>
      <c r="C8" s="21"/>
      <c r="D8" s="161"/>
      <c r="E8" s="21"/>
      <c r="F8" s="161"/>
      <c r="G8" s="157"/>
      <c r="H8" s="157">
        <f>G6-G7</f>
        <v>8400</v>
      </c>
      <c r="I8" s="157"/>
    </row>
    <row r="9" spans="1:12" x14ac:dyDescent="0.25">
      <c r="A9" s="151"/>
      <c r="B9" s="21"/>
      <c r="C9" s="21"/>
      <c r="D9" s="161"/>
      <c r="E9" s="21"/>
      <c r="F9" s="21"/>
      <c r="G9" s="157"/>
      <c r="H9" s="157"/>
      <c r="I9" s="157"/>
      <c r="L9" s="1">
        <v>15000</v>
      </c>
    </row>
    <row r="10" spans="1:12" x14ac:dyDescent="0.25">
      <c r="A10" s="153"/>
      <c r="B10" s="154"/>
      <c r="C10" s="165"/>
      <c r="D10" s="154"/>
      <c r="E10" s="154"/>
      <c r="F10" s="154"/>
      <c r="G10" s="157"/>
      <c r="H10" s="157"/>
      <c r="I10" s="157"/>
    </row>
    <row r="11" spans="1:12" ht="13" x14ac:dyDescent="0.3">
      <c r="A11" s="168" t="s">
        <v>110</v>
      </c>
      <c r="B11" s="162"/>
      <c r="C11" s="21"/>
      <c r="D11" s="160"/>
      <c r="E11" s="160"/>
      <c r="F11" s="21"/>
      <c r="G11" s="157"/>
      <c r="H11" s="157"/>
      <c r="I11" s="157"/>
    </row>
    <row r="12" spans="1:12" x14ac:dyDescent="0.25">
      <c r="A12" s="170"/>
      <c r="B12" s="21" t="s">
        <v>158</v>
      </c>
      <c r="C12" s="21"/>
      <c r="D12" s="21"/>
      <c r="E12" s="21"/>
      <c r="F12" s="21"/>
      <c r="G12" s="157">
        <v>16500</v>
      </c>
      <c r="H12" s="157"/>
      <c r="I12" s="157"/>
    </row>
    <row r="13" spans="1:12" x14ac:dyDescent="0.25">
      <c r="A13" s="170"/>
      <c r="B13" s="21" t="s">
        <v>170</v>
      </c>
      <c r="C13" s="21"/>
      <c r="D13" s="21"/>
      <c r="E13" s="21"/>
      <c r="F13" s="21"/>
      <c r="G13" s="157">
        <f>IF(G12&gt;17701.71,17701.71,G12)</f>
        <v>16500</v>
      </c>
      <c r="H13" s="157"/>
      <c r="I13" s="157"/>
    </row>
    <row r="14" spans="1:12" x14ac:dyDescent="0.25">
      <c r="A14" s="170"/>
      <c r="B14" s="21" t="s">
        <v>33</v>
      </c>
      <c r="C14" s="21"/>
      <c r="D14" s="21"/>
      <c r="E14" s="21"/>
      <c r="F14" s="21"/>
      <c r="G14" s="157">
        <f>G12-G13</f>
        <v>0</v>
      </c>
      <c r="H14" s="157"/>
      <c r="I14" s="157"/>
    </row>
    <row r="15" spans="1:12" x14ac:dyDescent="0.25">
      <c r="A15" s="170"/>
      <c r="B15" s="21" t="s">
        <v>172</v>
      </c>
      <c r="C15" s="21"/>
      <c r="D15" s="21"/>
      <c r="E15" s="21"/>
      <c r="F15" s="21"/>
      <c r="G15" s="157"/>
      <c r="H15" s="157"/>
      <c r="I15" s="157">
        <f>G15</f>
        <v>0</v>
      </c>
    </row>
    <row r="16" spans="1:12" ht="15" customHeight="1" x14ac:dyDescent="0.25">
      <c r="A16" s="153"/>
      <c r="B16" s="154"/>
      <c r="C16" s="154"/>
      <c r="D16" s="154"/>
      <c r="E16" s="154"/>
      <c r="F16" s="154"/>
      <c r="G16" s="157"/>
      <c r="H16" s="157"/>
      <c r="I16" s="157"/>
    </row>
    <row r="17" spans="1:9" ht="13" x14ac:dyDescent="0.3">
      <c r="A17" s="169" t="s">
        <v>111</v>
      </c>
      <c r="B17" s="163"/>
      <c r="C17" s="163"/>
      <c r="D17" s="163"/>
      <c r="E17" s="164"/>
      <c r="F17" s="21"/>
      <c r="G17" s="157"/>
      <c r="H17" s="157"/>
      <c r="I17" s="157"/>
    </row>
    <row r="18" spans="1:9" x14ac:dyDescent="0.25">
      <c r="A18" s="170"/>
      <c r="B18" s="21" t="s">
        <v>158</v>
      </c>
      <c r="C18" s="21"/>
      <c r="D18" s="21"/>
      <c r="E18" s="21"/>
      <c r="F18" s="21"/>
      <c r="G18" s="157">
        <v>3000</v>
      </c>
      <c r="H18" s="157"/>
      <c r="I18" s="157"/>
    </row>
    <row r="19" spans="1:9" x14ac:dyDescent="0.25">
      <c r="A19" s="170"/>
      <c r="B19" s="21" t="s">
        <v>26</v>
      </c>
      <c r="C19" s="21"/>
      <c r="D19" s="21"/>
      <c r="E19" s="21"/>
      <c r="F19" s="21"/>
      <c r="G19" s="157"/>
      <c r="H19" s="157"/>
      <c r="I19" s="157"/>
    </row>
    <row r="20" spans="1:9" x14ac:dyDescent="0.25">
      <c r="A20" s="170"/>
      <c r="B20" s="161"/>
      <c r="C20" s="21" t="s">
        <v>164</v>
      </c>
      <c r="D20" s="21"/>
      <c r="E20" s="21"/>
      <c r="F20" s="21">
        <v>2500</v>
      </c>
      <c r="G20" s="157"/>
      <c r="H20" s="157"/>
      <c r="I20" s="157"/>
    </row>
    <row r="21" spans="1:9" x14ac:dyDescent="0.25">
      <c r="A21" s="170"/>
      <c r="B21" s="161"/>
      <c r="C21" s="21" t="str">
        <f>"Arbeidsvrijstelling= "&amp;TEXT(G13,"#.##0,00")</f>
        <v>Arbeidsvrijstelling= 16.500,00</v>
      </c>
      <c r="D21" s="21"/>
      <c r="E21" s="21"/>
      <c r="F21" s="21"/>
      <c r="G21" s="157"/>
      <c r="H21" s="157"/>
      <c r="I21" s="157"/>
    </row>
    <row r="22" spans="1:9" x14ac:dyDescent="0.25">
      <c r="A22" s="170"/>
      <c r="B22" s="161"/>
      <c r="C22" s="21" t="str">
        <f>"Referentiebedrag= "&amp;TEXT(L9,"#.##0,00")</f>
        <v>Referentiebedrag= 15.000,00</v>
      </c>
      <c r="D22" s="21"/>
      <c r="E22" s="21"/>
      <c r="F22" s="21"/>
      <c r="G22" s="157"/>
      <c r="H22" s="157"/>
      <c r="I22" s="157"/>
    </row>
    <row r="23" spans="1:9" ht="13" x14ac:dyDescent="0.3">
      <c r="A23" s="172"/>
      <c r="B23" s="161"/>
      <c r="C23" s="21" t="s">
        <v>166</v>
      </c>
      <c r="D23" s="21"/>
      <c r="E23" s="21"/>
      <c r="F23" s="21"/>
      <c r="G23" s="157"/>
      <c r="H23" s="157"/>
      <c r="I23" s="157"/>
    </row>
    <row r="24" spans="1:9" ht="13" x14ac:dyDescent="0.3">
      <c r="A24" s="172"/>
      <c r="B24" s="161"/>
      <c r="C24" s="21"/>
      <c r="D24" s="21" t="s">
        <v>173</v>
      </c>
      <c r="E24" s="21"/>
      <c r="F24" s="21">
        <f>G13-L9</f>
        <v>1500</v>
      </c>
      <c r="G24" s="157"/>
      <c r="H24" s="157"/>
      <c r="I24" s="157"/>
    </row>
    <row r="25" spans="1:9" x14ac:dyDescent="0.25">
      <c r="A25" s="170"/>
      <c r="B25" s="161"/>
      <c r="C25" s="21" t="s">
        <v>165</v>
      </c>
      <c r="D25" s="21"/>
      <c r="E25" s="21"/>
      <c r="F25" s="21"/>
      <c r="G25" s="157">
        <f>F20-F24</f>
        <v>1000</v>
      </c>
      <c r="H25" s="157"/>
      <c r="I25" s="157"/>
    </row>
    <row r="26" spans="1:9" x14ac:dyDescent="0.25">
      <c r="A26" s="170"/>
      <c r="B26" s="21" t="s">
        <v>175</v>
      </c>
      <c r="C26" s="21"/>
      <c r="D26" s="21"/>
      <c r="E26" s="21"/>
      <c r="F26" s="21"/>
      <c r="G26" s="157"/>
      <c r="H26" s="157">
        <f>G18-G25</f>
        <v>2000</v>
      </c>
      <c r="I26" s="157"/>
    </row>
    <row r="27" spans="1:9" x14ac:dyDescent="0.25">
      <c r="A27" s="171"/>
      <c r="B27" s="154"/>
      <c r="C27" s="154"/>
      <c r="D27" s="154"/>
      <c r="E27" s="154"/>
      <c r="F27" s="154"/>
      <c r="G27" s="157"/>
      <c r="H27" s="157"/>
      <c r="I27" s="157"/>
    </row>
    <row r="28" spans="1:9" ht="13" x14ac:dyDescent="0.3">
      <c r="A28" s="169" t="s">
        <v>189</v>
      </c>
      <c r="B28" s="21"/>
      <c r="C28" s="21"/>
      <c r="D28" s="21"/>
      <c r="E28" s="21"/>
      <c r="F28" s="21"/>
      <c r="G28" s="157"/>
      <c r="H28" s="158">
        <f>H26+H8</f>
        <v>10400</v>
      </c>
      <c r="I28" s="157"/>
    </row>
    <row r="29" spans="1:9" x14ac:dyDescent="0.25">
      <c r="A29" s="153"/>
      <c r="B29" s="154"/>
      <c r="C29" s="154"/>
      <c r="D29" s="154"/>
      <c r="E29" s="154"/>
      <c r="F29" s="154"/>
      <c r="G29" s="157"/>
      <c r="H29" s="157"/>
      <c r="I29" s="157"/>
    </row>
    <row r="30" spans="1:9" ht="13" x14ac:dyDescent="0.3">
      <c r="A30" s="168" t="s">
        <v>167</v>
      </c>
      <c r="B30" s="21"/>
      <c r="C30" s="21"/>
      <c r="D30" s="21"/>
      <c r="E30" s="21"/>
      <c r="F30" s="21"/>
      <c r="G30" s="157"/>
      <c r="H30" s="157"/>
      <c r="I30" s="157"/>
    </row>
    <row r="31" spans="1:9" x14ac:dyDescent="0.25">
      <c r="A31" s="170"/>
      <c r="B31" s="189" t="s">
        <v>187</v>
      </c>
      <c r="C31" s="21"/>
      <c r="D31" s="21"/>
      <c r="E31" s="21"/>
      <c r="F31" s="21">
        <f>(100*12)*80%</f>
        <v>960</v>
      </c>
      <c r="G31" s="157"/>
      <c r="H31" s="157"/>
      <c r="I31" s="157"/>
    </row>
    <row r="32" spans="1:9" x14ac:dyDescent="0.25">
      <c r="A32" s="151"/>
      <c r="B32" s="406" t="s">
        <v>188</v>
      </c>
      <c r="C32" s="407"/>
      <c r="D32" s="407"/>
      <c r="E32" s="407"/>
      <c r="F32" s="21">
        <f>H28</f>
        <v>10400</v>
      </c>
      <c r="G32" s="157"/>
      <c r="H32" s="157"/>
      <c r="I32" s="157"/>
    </row>
    <row r="33" spans="1:9" x14ac:dyDescent="0.25">
      <c r="A33" s="151"/>
      <c r="B33" s="21" t="s">
        <v>169</v>
      </c>
      <c r="C33" s="21"/>
      <c r="D33" s="21"/>
      <c r="E33" s="21"/>
      <c r="F33" s="21"/>
      <c r="G33" s="157">
        <f>SUM(F31:F32)</f>
        <v>11360</v>
      </c>
      <c r="H33" s="157"/>
      <c r="I33" s="157"/>
    </row>
    <row r="34" spans="1:9" x14ac:dyDescent="0.25">
      <c r="A34" s="151"/>
      <c r="B34" s="21"/>
      <c r="C34" s="21"/>
      <c r="D34" s="21"/>
      <c r="E34" s="21"/>
      <c r="F34" s="21"/>
      <c r="G34" s="157"/>
      <c r="H34" s="157"/>
      <c r="I34" s="157"/>
    </row>
    <row r="35" spans="1:9" x14ac:dyDescent="0.25">
      <c r="A35" s="170" t="s">
        <v>177</v>
      </c>
      <c r="B35" s="21" t="s">
        <v>101</v>
      </c>
      <c r="C35" s="21"/>
      <c r="D35" s="21"/>
      <c r="E35" s="21"/>
      <c r="F35" s="21"/>
      <c r="G35" s="157"/>
      <c r="H35" s="157"/>
      <c r="I35" s="157"/>
    </row>
    <row r="36" spans="1:9" x14ac:dyDescent="0.25">
      <c r="A36" s="151"/>
      <c r="B36" s="189" t="s">
        <v>182</v>
      </c>
      <c r="C36" s="21"/>
      <c r="D36" s="21"/>
      <c r="E36" s="21"/>
      <c r="F36" s="21">
        <v>9000</v>
      </c>
      <c r="G36" s="157"/>
      <c r="H36" s="157"/>
      <c r="I36" s="157"/>
    </row>
    <row r="37" spans="1:9" x14ac:dyDescent="0.25">
      <c r="A37" s="151"/>
      <c r="B37" s="189" t="s">
        <v>183</v>
      </c>
      <c r="C37" s="21"/>
      <c r="D37" s="21"/>
      <c r="E37" s="21"/>
      <c r="F37" s="21"/>
      <c r="G37" s="157"/>
      <c r="H37" s="157"/>
      <c r="I37" s="157"/>
    </row>
    <row r="38" spans="1:9" x14ac:dyDescent="0.25">
      <c r="A38" s="151"/>
      <c r="B38" s="161" t="s">
        <v>178</v>
      </c>
      <c r="C38" s="21" t="s">
        <v>176</v>
      </c>
      <c r="D38" s="21"/>
      <c r="E38" s="21"/>
      <c r="F38" s="21">
        <f>G13</f>
        <v>16500</v>
      </c>
      <c r="G38" s="157"/>
      <c r="H38" s="157"/>
      <c r="I38" s="157"/>
    </row>
    <row r="39" spans="1:9" x14ac:dyDescent="0.25">
      <c r="A39" s="151"/>
      <c r="B39" s="161" t="s">
        <v>179</v>
      </c>
      <c r="C39" s="162" t="s">
        <v>136</v>
      </c>
      <c r="D39" s="21"/>
      <c r="E39" s="21"/>
      <c r="F39" s="21"/>
      <c r="G39" s="157"/>
      <c r="H39" s="157"/>
      <c r="I39" s="157"/>
    </row>
    <row r="40" spans="1:9" x14ac:dyDescent="0.25">
      <c r="A40" s="151"/>
      <c r="B40" s="21"/>
      <c r="C40" s="21"/>
      <c r="D40" s="162" t="s">
        <v>13</v>
      </c>
      <c r="E40" s="21"/>
      <c r="F40" s="21">
        <f>F25</f>
        <v>0</v>
      </c>
      <c r="G40" s="157"/>
      <c r="H40" s="157"/>
      <c r="I40" s="157"/>
    </row>
    <row r="41" spans="1:9" x14ac:dyDescent="0.25">
      <c r="A41" s="151"/>
      <c r="B41" s="189" t="s">
        <v>181</v>
      </c>
      <c r="C41" s="21"/>
      <c r="D41" s="21"/>
      <c r="E41" s="21"/>
      <c r="F41" s="21"/>
      <c r="G41" s="157">
        <f>IF(F36&gt;F38+F40,F36-(F38+F40),0)</f>
        <v>0</v>
      </c>
      <c r="H41" s="166"/>
      <c r="I41" s="157"/>
    </row>
    <row r="42" spans="1:9" x14ac:dyDescent="0.25">
      <c r="A42" s="151"/>
      <c r="B42" s="21" t="s">
        <v>168</v>
      </c>
      <c r="C42" s="21"/>
      <c r="D42" s="21"/>
      <c r="E42" s="21"/>
      <c r="F42" s="21"/>
      <c r="G42" s="157"/>
      <c r="H42" s="157"/>
      <c r="I42" s="157">
        <f>G33-G41</f>
        <v>11360</v>
      </c>
    </row>
    <row r="43" spans="1:9" x14ac:dyDescent="0.25">
      <c r="A43" s="153"/>
      <c r="B43" s="154"/>
      <c r="C43" s="154"/>
      <c r="D43" s="154"/>
      <c r="E43" s="154"/>
      <c r="F43" s="154"/>
      <c r="G43" s="157"/>
      <c r="H43" s="157"/>
      <c r="I43" s="157"/>
    </row>
    <row r="44" spans="1:9" ht="13" x14ac:dyDescent="0.3">
      <c r="A44" s="168" t="s">
        <v>185</v>
      </c>
      <c r="B44" s="21"/>
      <c r="C44" s="21"/>
      <c r="D44" s="21"/>
      <c r="E44" s="21"/>
      <c r="F44" s="21"/>
      <c r="G44" s="157"/>
      <c r="H44" s="157"/>
      <c r="I44" s="157">
        <v>10</v>
      </c>
    </row>
    <row r="45" spans="1:9" x14ac:dyDescent="0.25">
      <c r="A45" s="151"/>
      <c r="B45" s="21"/>
      <c r="C45" s="21"/>
      <c r="D45" s="21"/>
      <c r="E45" s="21"/>
      <c r="F45" s="21"/>
      <c r="G45" s="157"/>
      <c r="H45" s="157"/>
      <c r="I45" s="157"/>
    </row>
    <row r="46" spans="1:9" ht="13" x14ac:dyDescent="0.3">
      <c r="A46" s="167" t="s">
        <v>161</v>
      </c>
      <c r="B46" s="6"/>
      <c r="C46" s="6"/>
      <c r="D46" s="6"/>
      <c r="E46" s="6"/>
      <c r="F46" s="6"/>
      <c r="G46" s="6"/>
      <c r="H46" s="6"/>
      <c r="I46" s="182">
        <f>SUM(I6:I45)</f>
        <v>11370</v>
      </c>
    </row>
    <row r="47" spans="1:9" ht="13.5" thickBot="1" x14ac:dyDescent="0.35">
      <c r="A47" s="173"/>
      <c r="B47" s="21"/>
      <c r="C47" s="21"/>
      <c r="D47" s="21"/>
      <c r="E47" s="21"/>
      <c r="F47" s="21"/>
      <c r="G47" s="21"/>
      <c r="H47" s="21"/>
      <c r="I47" s="21"/>
    </row>
    <row r="48" spans="1:9" ht="13" x14ac:dyDescent="0.3">
      <c r="A48" s="174" t="s">
        <v>162</v>
      </c>
      <c r="B48" s="175"/>
      <c r="C48" s="175"/>
      <c r="D48" s="175"/>
      <c r="E48" s="175"/>
      <c r="F48" s="175"/>
      <c r="G48" s="175"/>
      <c r="H48" s="176"/>
      <c r="I48" s="21"/>
    </row>
    <row r="49" spans="1:9" ht="13" x14ac:dyDescent="0.3">
      <c r="A49" s="177"/>
      <c r="B49" s="21" t="s">
        <v>25</v>
      </c>
      <c r="C49" s="21"/>
      <c r="D49" s="21"/>
      <c r="E49" s="21"/>
      <c r="F49" s="21"/>
      <c r="G49" s="21"/>
      <c r="H49" s="178">
        <v>8000</v>
      </c>
      <c r="I49" s="21"/>
    </row>
    <row r="50" spans="1:9" ht="13" x14ac:dyDescent="0.3">
      <c r="A50" s="177"/>
      <c r="B50" s="21" t="s">
        <v>156</v>
      </c>
      <c r="C50" s="21"/>
      <c r="D50" s="21"/>
      <c r="E50" s="21"/>
      <c r="F50" s="21"/>
      <c r="G50" s="21"/>
      <c r="H50" s="178">
        <f>I46</f>
        <v>11370</v>
      </c>
      <c r="I50" s="190"/>
    </row>
    <row r="51" spans="1:9" ht="13.5" thickBot="1" x14ac:dyDescent="0.35">
      <c r="A51" s="179"/>
      <c r="B51" s="180" t="s">
        <v>186</v>
      </c>
      <c r="C51" s="180"/>
      <c r="D51" s="180"/>
      <c r="E51" s="180"/>
      <c r="F51" s="180"/>
      <c r="G51" s="180"/>
      <c r="H51" s="181">
        <f>IF((H49-H50)&lt;0,0,H49-H50)</f>
        <v>0</v>
      </c>
    </row>
  </sheetData>
  <mergeCells count="1">
    <mergeCell ref="B32:E32"/>
  </mergeCells>
  <phoneticPr fontId="0" type="noConversion"/>
  <pageMargins left="0.32" right="0.32" top="1" bottom="1" header="0.5" footer="0.5"/>
  <pageSetup paperSize="9" orientation="portrait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>
      <selection activeCell="C15" sqref="C15"/>
    </sheetView>
  </sheetViews>
  <sheetFormatPr baseColWidth="10" defaultColWidth="11.453125" defaultRowHeight="12.5" x14ac:dyDescent="0.25"/>
  <cols>
    <col min="1" max="1" width="3.54296875" style="1" customWidth="1"/>
    <col min="2" max="2" width="5.6328125" style="1" customWidth="1"/>
    <col min="3" max="3" width="3.453125" style="1" customWidth="1"/>
    <col min="4" max="4" width="8.6328125" style="1" customWidth="1"/>
    <col min="5" max="5" width="14.6328125" style="1" customWidth="1"/>
    <col min="6" max="6" width="10.36328125" style="1" bestFit="1" customWidth="1"/>
    <col min="7" max="8" width="10.453125" style="1" customWidth="1"/>
    <col min="9" max="9" width="11.90625" style="1" customWidth="1"/>
    <col min="10" max="11" width="11.453125" style="1" customWidth="1"/>
    <col min="12" max="12" width="9.453125" style="1" bestFit="1" customWidth="1"/>
    <col min="13" max="16384" width="11.453125" style="1"/>
  </cols>
  <sheetData>
    <row r="1" spans="1:12" ht="17.5" x14ac:dyDescent="0.35">
      <c r="A1" s="155" t="s">
        <v>123</v>
      </c>
    </row>
    <row r="4" spans="1:12" ht="25" x14ac:dyDescent="0.25">
      <c r="A4" s="150"/>
      <c r="B4" s="183"/>
      <c r="C4" s="183"/>
      <c r="D4" s="183"/>
      <c r="E4" s="183"/>
      <c r="F4" s="183"/>
      <c r="G4" s="158"/>
      <c r="H4" s="196" t="s">
        <v>184</v>
      </c>
      <c r="I4" s="187" t="s">
        <v>29</v>
      </c>
    </row>
    <row r="5" spans="1:12" ht="13" x14ac:dyDescent="0.3">
      <c r="A5" s="168" t="s">
        <v>157</v>
      </c>
      <c r="B5" s="21"/>
      <c r="C5" s="21"/>
      <c r="D5" s="160"/>
      <c r="E5" s="21"/>
      <c r="F5" s="21"/>
      <c r="G5" s="157"/>
      <c r="H5" s="157"/>
      <c r="I5" s="157"/>
    </row>
    <row r="6" spans="1:12" x14ac:dyDescent="0.25">
      <c r="A6" s="170"/>
      <c r="B6" s="21" t="s">
        <v>158</v>
      </c>
      <c r="C6" s="21"/>
      <c r="D6" s="21"/>
      <c r="E6" s="21"/>
      <c r="F6" s="21"/>
      <c r="G6" s="157">
        <v>10000</v>
      </c>
      <c r="H6" s="157"/>
      <c r="I6" s="157"/>
    </row>
    <row r="7" spans="1:12" x14ac:dyDescent="0.25">
      <c r="A7" s="170"/>
      <c r="B7" s="21" t="s">
        <v>163</v>
      </c>
      <c r="C7" s="21"/>
      <c r="D7" s="161"/>
      <c r="E7" s="21"/>
      <c r="F7" s="21"/>
      <c r="G7" s="157">
        <v>4500</v>
      </c>
      <c r="H7" s="157"/>
      <c r="I7" s="157"/>
    </row>
    <row r="8" spans="1:12" x14ac:dyDescent="0.25">
      <c r="A8" s="170"/>
      <c r="B8" s="21" t="s">
        <v>33</v>
      </c>
      <c r="C8" s="21"/>
      <c r="D8" s="161"/>
      <c r="E8" s="21"/>
      <c r="F8" s="21"/>
      <c r="G8" s="157">
        <v>5500</v>
      </c>
      <c r="H8" s="157"/>
      <c r="I8" s="157"/>
    </row>
    <row r="9" spans="1:12" x14ac:dyDescent="0.25">
      <c r="A9" s="170"/>
      <c r="B9" s="21" t="s">
        <v>180</v>
      </c>
      <c r="C9" s="21"/>
      <c r="D9" s="161"/>
      <c r="E9" s="21"/>
      <c r="F9" s="21"/>
      <c r="G9" s="157"/>
      <c r="H9" s="157"/>
      <c r="I9" s="157">
        <f>G8/2</f>
        <v>2750</v>
      </c>
      <c r="L9" s="1">
        <v>15000</v>
      </c>
    </row>
    <row r="10" spans="1:12" x14ac:dyDescent="0.25">
      <c r="A10" s="151"/>
      <c r="B10" s="21"/>
      <c r="C10" s="161"/>
      <c r="D10" s="21"/>
      <c r="E10" s="21"/>
      <c r="F10" s="21"/>
      <c r="G10" s="157"/>
      <c r="H10" s="157"/>
      <c r="I10" s="157"/>
    </row>
    <row r="11" spans="1:12" ht="13" x14ac:dyDescent="0.3">
      <c r="A11" s="188" t="s">
        <v>110</v>
      </c>
      <c r="B11" s="191"/>
      <c r="C11" s="183"/>
      <c r="D11" s="192"/>
      <c r="E11" s="192"/>
      <c r="F11" s="183"/>
      <c r="G11" s="157"/>
      <c r="H11" s="157"/>
      <c r="I11" s="157"/>
    </row>
    <row r="12" spans="1:12" x14ac:dyDescent="0.25">
      <c r="A12" s="170"/>
      <c r="B12" s="21" t="s">
        <v>158</v>
      </c>
      <c r="C12" s="21"/>
      <c r="D12" s="21"/>
      <c r="E12" s="21"/>
      <c r="F12" s="21"/>
      <c r="G12" s="157">
        <v>16500</v>
      </c>
      <c r="H12" s="157"/>
      <c r="I12" s="157"/>
    </row>
    <row r="13" spans="1:12" x14ac:dyDescent="0.25">
      <c r="A13" s="170"/>
      <c r="B13" s="21" t="s">
        <v>170</v>
      </c>
      <c r="C13" s="21"/>
      <c r="D13" s="21"/>
      <c r="E13" s="21"/>
      <c r="F13" s="21"/>
      <c r="G13" s="157">
        <f>IF(G12&gt;17701.71,17701.71,G12)</f>
        <v>16500</v>
      </c>
      <c r="H13" s="157"/>
      <c r="I13" s="157"/>
    </row>
    <row r="14" spans="1:12" x14ac:dyDescent="0.25">
      <c r="A14" s="170"/>
      <c r="B14" s="21" t="s">
        <v>33</v>
      </c>
      <c r="C14" s="21"/>
      <c r="D14" s="21"/>
      <c r="E14" s="21"/>
      <c r="F14" s="21"/>
      <c r="G14" s="157">
        <f>G12-G13</f>
        <v>0</v>
      </c>
      <c r="H14" s="157"/>
      <c r="I14" s="157"/>
    </row>
    <row r="15" spans="1:12" x14ac:dyDescent="0.25">
      <c r="A15" s="170"/>
      <c r="B15" s="21" t="s">
        <v>180</v>
      </c>
      <c r="C15" s="21"/>
      <c r="D15" s="21"/>
      <c r="E15" s="21"/>
      <c r="F15" s="21"/>
      <c r="G15" s="157"/>
      <c r="H15" s="157"/>
      <c r="I15" s="157">
        <f>G14/2</f>
        <v>0</v>
      </c>
    </row>
    <row r="16" spans="1:12" ht="15" customHeight="1" x14ac:dyDescent="0.25">
      <c r="A16" s="151"/>
      <c r="B16" s="21"/>
      <c r="C16" s="21"/>
      <c r="D16" s="21"/>
      <c r="E16" s="21"/>
      <c r="F16" s="21"/>
      <c r="G16" s="157"/>
      <c r="H16" s="157"/>
      <c r="I16" s="157"/>
    </row>
    <row r="17" spans="1:9" ht="13" x14ac:dyDescent="0.3">
      <c r="A17" s="193" t="s">
        <v>111</v>
      </c>
      <c r="B17" s="194"/>
      <c r="C17" s="194"/>
      <c r="D17" s="194"/>
      <c r="E17" s="195"/>
      <c r="F17" s="183"/>
      <c r="G17" s="157"/>
      <c r="H17" s="157"/>
      <c r="I17" s="157"/>
    </row>
    <row r="18" spans="1:9" x14ac:dyDescent="0.25">
      <c r="A18" s="170"/>
      <c r="B18" s="21" t="s">
        <v>158</v>
      </c>
      <c r="C18" s="21"/>
      <c r="D18" s="21"/>
      <c r="E18" s="21"/>
      <c r="F18" s="21"/>
      <c r="G18" s="157">
        <v>3000</v>
      </c>
      <c r="H18" s="157"/>
      <c r="I18" s="157"/>
    </row>
    <row r="19" spans="1:9" x14ac:dyDescent="0.25">
      <c r="A19" s="170"/>
      <c r="B19" s="21" t="s">
        <v>26</v>
      </c>
      <c r="C19" s="21"/>
      <c r="D19" s="21"/>
      <c r="E19" s="21"/>
      <c r="F19" s="21"/>
      <c r="G19" s="157"/>
      <c r="H19" s="157"/>
      <c r="I19" s="157"/>
    </row>
    <row r="20" spans="1:9" x14ac:dyDescent="0.25">
      <c r="A20" s="151"/>
      <c r="B20" s="161"/>
      <c r="C20" s="21" t="s">
        <v>164</v>
      </c>
      <c r="D20" s="21"/>
      <c r="E20" s="21"/>
      <c r="F20" s="21">
        <v>2500</v>
      </c>
      <c r="G20" s="157"/>
      <c r="H20" s="157"/>
      <c r="I20" s="157"/>
    </row>
    <row r="21" spans="1:9" x14ac:dyDescent="0.25">
      <c r="A21" s="151"/>
      <c r="B21" s="21"/>
      <c r="C21" s="21" t="str">
        <f>"Arbeidsvrijstelling= "&amp;TEXT(G13,"#.##0,00")</f>
        <v>Arbeidsvrijstelling= 16.500,00</v>
      </c>
      <c r="E21" s="21"/>
      <c r="F21" s="21"/>
      <c r="G21" s="157"/>
      <c r="H21" s="157"/>
      <c r="I21" s="157"/>
    </row>
    <row r="22" spans="1:9" x14ac:dyDescent="0.25">
      <c r="A22" s="151"/>
      <c r="B22" s="21"/>
      <c r="C22" s="21" t="str">
        <f>"Referentiebedrag= "&amp;TEXT(L9,"#.##0,00")</f>
        <v>Referentiebedrag= 15.000,00</v>
      </c>
      <c r="D22" s="21"/>
      <c r="E22" s="21"/>
      <c r="F22" s="21"/>
      <c r="G22" s="157"/>
      <c r="H22" s="157"/>
      <c r="I22" s="157"/>
    </row>
    <row r="23" spans="1:9" ht="13" x14ac:dyDescent="0.3">
      <c r="A23" s="168"/>
      <c r="B23" s="161"/>
      <c r="C23" s="21" t="s">
        <v>166</v>
      </c>
      <c r="D23" s="21"/>
      <c r="E23" s="21"/>
      <c r="F23" s="21"/>
      <c r="G23" s="157"/>
      <c r="H23" s="157"/>
      <c r="I23" s="157"/>
    </row>
    <row r="24" spans="1:9" ht="13" x14ac:dyDescent="0.3">
      <c r="A24" s="168"/>
      <c r="B24" s="21"/>
      <c r="C24" s="21"/>
      <c r="D24" s="21" t="s">
        <v>173</v>
      </c>
      <c r="E24" s="21"/>
      <c r="F24" s="21">
        <f>G13-L9</f>
        <v>1500</v>
      </c>
      <c r="G24" s="157"/>
      <c r="H24" s="157"/>
      <c r="I24" s="157"/>
    </row>
    <row r="25" spans="1:9" x14ac:dyDescent="0.25">
      <c r="A25" s="170"/>
      <c r="B25" s="148"/>
      <c r="C25" s="1" t="s">
        <v>165</v>
      </c>
      <c r="G25" s="157">
        <f>F20-F24</f>
        <v>1000</v>
      </c>
      <c r="H25" s="157"/>
      <c r="I25" s="157"/>
    </row>
    <row r="26" spans="1:9" x14ac:dyDescent="0.25">
      <c r="A26" s="170"/>
      <c r="B26" s="21" t="s">
        <v>171</v>
      </c>
      <c r="C26" s="21"/>
      <c r="D26" s="21"/>
      <c r="E26" s="21"/>
      <c r="F26" s="21"/>
      <c r="G26" s="157"/>
      <c r="H26" s="157">
        <f>G18-G25</f>
        <v>2000</v>
      </c>
      <c r="I26" s="157"/>
    </row>
    <row r="27" spans="1:9" x14ac:dyDescent="0.25">
      <c r="A27" s="170"/>
      <c r="B27" s="21"/>
      <c r="C27" s="21"/>
      <c r="D27" s="21"/>
      <c r="E27" s="21"/>
      <c r="F27" s="21"/>
      <c r="G27" s="157"/>
      <c r="H27" s="157"/>
      <c r="I27" s="157"/>
    </row>
    <row r="28" spans="1:9" ht="13" x14ac:dyDescent="0.3">
      <c r="A28" s="193" t="s">
        <v>189</v>
      </c>
      <c r="B28" s="183"/>
      <c r="C28" s="183"/>
      <c r="D28" s="183"/>
      <c r="E28" s="183"/>
      <c r="F28" s="183"/>
      <c r="G28" s="157"/>
      <c r="H28" s="158">
        <f>H26</f>
        <v>2000</v>
      </c>
      <c r="I28" s="157"/>
    </row>
    <row r="29" spans="1:9" x14ac:dyDescent="0.25">
      <c r="A29" s="153"/>
      <c r="B29" s="154"/>
      <c r="C29" s="154"/>
      <c r="D29" s="154"/>
      <c r="E29" s="154"/>
      <c r="F29" s="154"/>
      <c r="G29" s="157"/>
      <c r="H29" s="157"/>
      <c r="I29" s="157"/>
    </row>
    <row r="30" spans="1:9" ht="13" x14ac:dyDescent="0.3">
      <c r="A30" s="168" t="s">
        <v>167</v>
      </c>
      <c r="G30" s="157"/>
      <c r="H30" s="157"/>
      <c r="I30" s="157"/>
    </row>
    <row r="31" spans="1:9" x14ac:dyDescent="0.25">
      <c r="A31" s="170"/>
      <c r="B31" s="1" t="s">
        <v>187</v>
      </c>
      <c r="F31" s="21">
        <f>(100*12)*80%</f>
        <v>960</v>
      </c>
      <c r="G31" s="157"/>
      <c r="H31" s="157"/>
      <c r="I31" s="157"/>
    </row>
    <row r="32" spans="1:9" x14ac:dyDescent="0.25">
      <c r="A32" s="151"/>
      <c r="B32" s="408" t="s">
        <v>188</v>
      </c>
      <c r="C32" s="409"/>
      <c r="D32" s="409"/>
      <c r="E32" s="409"/>
      <c r="F32" s="21">
        <f>G26</f>
        <v>0</v>
      </c>
      <c r="G32" s="157"/>
      <c r="H32" s="157"/>
      <c r="I32" s="157"/>
    </row>
    <row r="33" spans="1:9" x14ac:dyDescent="0.25">
      <c r="A33" s="151"/>
      <c r="F33" s="21"/>
      <c r="G33" s="157"/>
      <c r="H33" s="157"/>
      <c r="I33" s="157"/>
    </row>
    <row r="34" spans="1:9" x14ac:dyDescent="0.25">
      <c r="A34" s="151"/>
      <c r="B34" s="21" t="s">
        <v>169</v>
      </c>
      <c r="C34" s="21"/>
      <c r="D34" s="21"/>
      <c r="E34" s="21"/>
      <c r="F34" s="21">
        <f>SUM(F31:F32)</f>
        <v>960</v>
      </c>
      <c r="G34" s="157">
        <f>F34</f>
        <v>960</v>
      </c>
      <c r="H34" s="157"/>
      <c r="I34" s="157"/>
    </row>
    <row r="35" spans="1:9" x14ac:dyDescent="0.25">
      <c r="A35" s="151"/>
      <c r="G35" s="157"/>
      <c r="H35" s="157"/>
      <c r="I35" s="157"/>
    </row>
    <row r="36" spans="1:9" x14ac:dyDescent="0.25">
      <c r="A36" s="170"/>
      <c r="B36" s="1" t="s">
        <v>101</v>
      </c>
      <c r="G36" s="157"/>
      <c r="H36" s="157"/>
      <c r="I36" s="157"/>
    </row>
    <row r="37" spans="1:9" x14ac:dyDescent="0.25">
      <c r="A37" s="151"/>
      <c r="B37" s="149" t="s">
        <v>190</v>
      </c>
      <c r="F37" s="21">
        <v>9000</v>
      </c>
      <c r="G37" s="157"/>
      <c r="H37" s="157"/>
      <c r="I37" s="157"/>
    </row>
    <row r="38" spans="1:9" x14ac:dyDescent="0.25">
      <c r="A38" s="151"/>
      <c r="B38" s="149" t="s">
        <v>43</v>
      </c>
      <c r="F38" s="21"/>
      <c r="G38" s="157"/>
      <c r="H38" s="157"/>
      <c r="I38" s="157"/>
    </row>
    <row r="39" spans="1:9" x14ac:dyDescent="0.25">
      <c r="A39" s="151"/>
      <c r="B39" s="148" t="s">
        <v>178</v>
      </c>
      <c r="C39" s="1" t="s">
        <v>35</v>
      </c>
      <c r="F39" s="21">
        <f>G13</f>
        <v>16500</v>
      </c>
      <c r="G39" s="157"/>
      <c r="H39" s="157"/>
      <c r="I39" s="157"/>
    </row>
    <row r="40" spans="1:9" x14ac:dyDescent="0.25">
      <c r="A40" s="151"/>
      <c r="B40" s="148" t="s">
        <v>179</v>
      </c>
      <c r="C40" s="149" t="s">
        <v>136</v>
      </c>
      <c r="F40" s="21"/>
      <c r="G40" s="157"/>
      <c r="H40" s="157"/>
      <c r="I40" s="157"/>
    </row>
    <row r="41" spans="1:9" x14ac:dyDescent="0.25">
      <c r="A41" s="151"/>
      <c r="D41" s="149" t="s">
        <v>13</v>
      </c>
      <c r="F41" s="21">
        <f>F25</f>
        <v>0</v>
      </c>
      <c r="G41" s="157"/>
      <c r="H41" s="157"/>
      <c r="I41" s="157"/>
    </row>
    <row r="42" spans="1:9" x14ac:dyDescent="0.25">
      <c r="A42" s="151"/>
      <c r="B42" s="156" t="s">
        <v>181</v>
      </c>
      <c r="F42" s="21"/>
      <c r="G42" s="157">
        <f>IF((F37-F39)&gt;0,F37-F39,0)</f>
        <v>0</v>
      </c>
      <c r="H42" s="166"/>
      <c r="I42" s="157"/>
    </row>
    <row r="43" spans="1:9" x14ac:dyDescent="0.25">
      <c r="A43" s="170"/>
      <c r="B43" s="21" t="s">
        <v>168</v>
      </c>
      <c r="C43" s="21"/>
      <c r="D43" s="21"/>
      <c r="E43" s="21"/>
      <c r="F43" s="21"/>
      <c r="G43" s="157"/>
      <c r="H43" s="157"/>
      <c r="I43" s="157">
        <f>G34-G42</f>
        <v>960</v>
      </c>
    </row>
    <row r="44" spans="1:9" x14ac:dyDescent="0.25">
      <c r="A44" s="171"/>
      <c r="B44" s="154"/>
      <c r="C44" s="154"/>
      <c r="D44" s="154"/>
      <c r="E44" s="154"/>
      <c r="F44" s="154"/>
      <c r="G44" s="157"/>
      <c r="H44" s="157"/>
      <c r="I44" s="157"/>
    </row>
    <row r="45" spans="1:9" ht="13" x14ac:dyDescent="0.3">
      <c r="A45" s="188" t="s">
        <v>185</v>
      </c>
      <c r="B45" s="183"/>
      <c r="C45" s="183"/>
      <c r="D45" s="183"/>
      <c r="E45" s="183"/>
      <c r="F45" s="183"/>
      <c r="G45" s="157"/>
      <c r="H45" s="157"/>
      <c r="I45" s="157">
        <v>10</v>
      </c>
    </row>
    <row r="46" spans="1:9" x14ac:dyDescent="0.25">
      <c r="A46" s="170"/>
      <c r="B46" s="21"/>
      <c r="C46" s="21"/>
      <c r="D46" s="21"/>
      <c r="E46" s="21"/>
      <c r="F46" s="21"/>
      <c r="G46" s="159"/>
      <c r="H46" s="159"/>
      <c r="I46" s="159"/>
    </row>
    <row r="47" spans="1:9" ht="13" x14ac:dyDescent="0.3">
      <c r="A47" s="167" t="s">
        <v>161</v>
      </c>
      <c r="B47" s="6"/>
      <c r="C47" s="6"/>
      <c r="D47" s="6"/>
      <c r="E47" s="6"/>
      <c r="F47" s="6"/>
      <c r="G47" s="6"/>
      <c r="H47" s="6"/>
      <c r="I47" s="182">
        <f>SUM(I5:I46)</f>
        <v>3720</v>
      </c>
    </row>
    <row r="48" spans="1:9" ht="13.5" thickBot="1" x14ac:dyDescent="0.35">
      <c r="A48" s="197"/>
      <c r="B48" s="183"/>
      <c r="C48" s="183"/>
      <c r="D48" s="183"/>
      <c r="E48" s="183"/>
      <c r="F48" s="183"/>
      <c r="G48" s="183"/>
      <c r="H48" s="183"/>
      <c r="I48" s="183"/>
    </row>
    <row r="49" spans="1:8" ht="13" x14ac:dyDescent="0.3">
      <c r="A49" s="174" t="s">
        <v>162</v>
      </c>
      <c r="B49" s="175"/>
      <c r="C49" s="175"/>
      <c r="D49" s="175"/>
      <c r="E49" s="175"/>
      <c r="F49" s="175"/>
      <c r="G49" s="175"/>
      <c r="H49" s="176"/>
    </row>
    <row r="50" spans="1:8" ht="13" x14ac:dyDescent="0.3">
      <c r="A50" s="177"/>
      <c r="B50" s="21" t="s">
        <v>25</v>
      </c>
      <c r="C50" s="21"/>
      <c r="D50" s="21"/>
      <c r="E50" s="21"/>
      <c r="F50" s="21"/>
      <c r="G50" s="21"/>
      <c r="H50" s="178">
        <v>8000</v>
      </c>
    </row>
    <row r="51" spans="1:8" ht="13" x14ac:dyDescent="0.3">
      <c r="A51" s="177"/>
      <c r="B51" s="21" t="s">
        <v>156</v>
      </c>
      <c r="C51" s="21"/>
      <c r="D51" s="21"/>
      <c r="E51" s="21"/>
      <c r="F51" s="21"/>
      <c r="G51" s="21"/>
      <c r="H51" s="178">
        <f>I47</f>
        <v>3720</v>
      </c>
    </row>
    <row r="52" spans="1:8" ht="13.5" thickBot="1" x14ac:dyDescent="0.35">
      <c r="A52" s="179"/>
      <c r="B52" s="180" t="s">
        <v>186</v>
      </c>
      <c r="C52" s="180"/>
      <c r="D52" s="180"/>
      <c r="E52" s="180"/>
      <c r="F52" s="180"/>
      <c r="G52" s="180"/>
      <c r="H52" s="181">
        <f>IF((H50-H51)&lt;0,0,H50-H51)</f>
        <v>4280</v>
      </c>
    </row>
  </sheetData>
  <mergeCells count="1">
    <mergeCell ref="B32:E32"/>
  </mergeCells>
  <phoneticPr fontId="0" type="noConversion"/>
  <pageMargins left="0.38" right="0.3" top="1" bottom="1" header="0.5" footer="0.5"/>
  <pageSetup paperSize="9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="75" workbookViewId="0">
      <selection activeCell="C15" sqref="C15"/>
    </sheetView>
  </sheetViews>
  <sheetFormatPr baseColWidth="10" defaultRowHeight="12.5" x14ac:dyDescent="0.25"/>
  <cols>
    <col min="1" max="4" width="10.6328125" customWidth="1"/>
    <col min="5" max="5" width="4.6328125" customWidth="1"/>
    <col min="6" max="6" width="1.54296875" customWidth="1"/>
    <col min="7" max="7" width="4.90625" customWidth="1"/>
    <col min="8" max="11" width="10.6328125" customWidth="1"/>
    <col min="12" max="12" width="12.453125" customWidth="1"/>
    <col min="13" max="256" width="8.7265625" customWidth="1"/>
  </cols>
  <sheetData>
    <row r="1" spans="1:13" x14ac:dyDescent="0.25">
      <c r="A1" t="s">
        <v>56</v>
      </c>
      <c r="C1" s="29">
        <f>berekening!E1</f>
        <v>44440</v>
      </c>
      <c r="D1" s="42"/>
    </row>
    <row r="2" spans="1:13" ht="18" x14ac:dyDescent="0.4">
      <c r="A2" s="387" t="s">
        <v>64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6" customHeight="1" x14ac:dyDescent="0.25"/>
    <row r="4" spans="1:13" ht="12.75" customHeight="1" x14ac:dyDescent="0.35">
      <c r="C4" s="388" t="s">
        <v>1</v>
      </c>
      <c r="D4" s="388"/>
      <c r="F4" s="28"/>
      <c r="H4" s="388" t="s">
        <v>5</v>
      </c>
      <c r="I4" s="388"/>
    </row>
    <row r="5" spans="1:13" ht="12.75" customHeight="1" x14ac:dyDescent="0.25">
      <c r="C5" s="17" t="s">
        <v>2</v>
      </c>
      <c r="D5" s="1">
        <f>'bedragen op'!C2</f>
        <v>8198.52</v>
      </c>
      <c r="F5" s="28"/>
      <c r="H5">
        <v>1</v>
      </c>
      <c r="I5" s="1">
        <f>'bedragen op'!C5</f>
        <v>1323.26</v>
      </c>
    </row>
    <row r="6" spans="1:13" x14ac:dyDescent="0.25">
      <c r="C6" s="17" t="s">
        <v>3</v>
      </c>
      <c r="D6" s="1">
        <f>'bedragen op'!C3</f>
        <v>12297.78</v>
      </c>
      <c r="F6" s="28"/>
      <c r="H6">
        <v>2</v>
      </c>
      <c r="I6" s="1">
        <f>'bedragen op'!C6</f>
        <v>4376.8100000000004</v>
      </c>
    </row>
    <row r="7" spans="1:13" x14ac:dyDescent="0.25">
      <c r="C7" s="17" t="s">
        <v>4</v>
      </c>
      <c r="D7" s="1">
        <f>'bedragen op'!C4</f>
        <v>16619.68</v>
      </c>
      <c r="F7" s="28"/>
      <c r="H7">
        <v>3</v>
      </c>
      <c r="I7" s="1">
        <f>'bedragen op'!C7</f>
        <v>6960.74</v>
      </c>
    </row>
    <row r="8" spans="1:13" x14ac:dyDescent="0.25">
      <c r="F8" s="28"/>
      <c r="H8">
        <v>4</v>
      </c>
      <c r="I8" s="1">
        <f>'bedragen op'!C8</f>
        <v>10115.799999999999</v>
      </c>
    </row>
    <row r="9" spans="1:13" x14ac:dyDescent="0.25">
      <c r="F9" s="28"/>
      <c r="H9">
        <v>5</v>
      </c>
      <c r="I9" s="1">
        <f>'bedragen op'!C9</f>
        <v>11468.35</v>
      </c>
    </row>
    <row r="10" spans="1:13" ht="6" customHeight="1" x14ac:dyDescent="0.25"/>
    <row r="11" spans="1:13" ht="3.75" customHeight="1" x14ac:dyDescent="0.25"/>
    <row r="12" spans="1:13" ht="18" x14ac:dyDescent="0.4">
      <c r="A12" s="387" t="s">
        <v>6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</row>
    <row r="13" spans="1:13" ht="12.75" customHeight="1" x14ac:dyDescent="0.25">
      <c r="A13" s="385" t="s">
        <v>1</v>
      </c>
      <c r="B13" s="385"/>
      <c r="C13" s="385"/>
      <c r="D13" s="385"/>
      <c r="H13" s="385" t="s">
        <v>5</v>
      </c>
      <c r="I13" s="385"/>
      <c r="J13" s="385"/>
      <c r="K13" s="385"/>
      <c r="L13" s="385"/>
      <c r="M13" s="385"/>
    </row>
    <row r="14" spans="1:13" x14ac:dyDescent="0.25">
      <c r="A14" s="385"/>
      <c r="B14" s="385"/>
      <c r="C14" s="385"/>
      <c r="D14" s="385"/>
      <c r="F14" s="28"/>
      <c r="H14" s="385"/>
      <c r="I14" s="385"/>
      <c r="J14" s="385"/>
      <c r="K14" s="385"/>
      <c r="L14" s="385"/>
      <c r="M14" s="385"/>
    </row>
    <row r="15" spans="1:13" ht="13" x14ac:dyDescent="0.3">
      <c r="A15" s="384" t="s">
        <v>57</v>
      </c>
      <c r="B15" s="384"/>
      <c r="C15" s="384"/>
      <c r="D15" s="384"/>
      <c r="F15" s="28"/>
      <c r="H15" s="384" t="s">
        <v>57</v>
      </c>
      <c r="I15" s="384"/>
      <c r="J15" s="384"/>
      <c r="K15" s="384"/>
      <c r="L15" s="384"/>
      <c r="M15" s="384"/>
    </row>
    <row r="16" spans="1:13" x14ac:dyDescent="0.25">
      <c r="A16" s="44"/>
      <c r="B16" s="21">
        <f>'bedragen op'!C2/2</f>
        <v>4099.26</v>
      </c>
      <c r="C16" t="s">
        <v>63</v>
      </c>
      <c r="D16" s="19"/>
      <c r="F16" s="28"/>
      <c r="I16" s="26" t="s">
        <v>90</v>
      </c>
      <c r="J16" s="1">
        <f>'bedragen op'!C12</f>
        <v>1000000</v>
      </c>
      <c r="K16" s="23"/>
      <c r="L16" s="23"/>
    </row>
    <row r="17" spans="1:13" x14ac:dyDescent="0.25">
      <c r="A17" s="19"/>
      <c r="B17" s="19"/>
      <c r="C17" s="19"/>
      <c r="D17" s="19"/>
      <c r="F17" s="28"/>
      <c r="I17" t="s">
        <v>89</v>
      </c>
      <c r="J17" s="19">
        <f>'bedragen op'!C13</f>
        <v>1000000</v>
      </c>
      <c r="K17" s="22" t="s">
        <v>60</v>
      </c>
      <c r="L17" s="19"/>
    </row>
    <row r="18" spans="1:13" ht="13" x14ac:dyDescent="0.3">
      <c r="A18" s="384" t="s">
        <v>58</v>
      </c>
      <c r="B18" s="384"/>
      <c r="C18" s="384"/>
      <c r="D18" s="384"/>
      <c r="F18" s="28"/>
      <c r="I18" s="19"/>
      <c r="L18" s="19"/>
    </row>
    <row r="19" spans="1:13" x14ac:dyDescent="0.25">
      <c r="A19" s="19"/>
      <c r="B19" s="25">
        <v>0.1</v>
      </c>
      <c r="C19" t="s">
        <v>65</v>
      </c>
      <c r="D19" s="19"/>
      <c r="F19" s="28"/>
      <c r="I19" s="19"/>
      <c r="J19" s="19"/>
      <c r="K19" s="19"/>
      <c r="L19" s="19"/>
    </row>
    <row r="20" spans="1:13" ht="13" x14ac:dyDescent="0.3">
      <c r="A20" s="19"/>
      <c r="B20" s="19"/>
      <c r="C20" s="19"/>
      <c r="D20" s="19"/>
      <c r="F20" s="28"/>
      <c r="H20" s="384" t="s">
        <v>58</v>
      </c>
      <c r="I20" s="384"/>
      <c r="J20" s="384"/>
      <c r="K20" s="384"/>
      <c r="L20" s="384"/>
      <c r="M20" s="384"/>
    </row>
    <row r="21" spans="1:13" ht="13" x14ac:dyDescent="0.3">
      <c r="A21" s="384" t="s">
        <v>59</v>
      </c>
      <c r="B21" s="384"/>
      <c r="C21" s="384"/>
      <c r="D21" s="384"/>
      <c r="F21" s="28"/>
      <c r="I21" s="43">
        <f>'bedragen op'!C14</f>
        <v>23824.7</v>
      </c>
      <c r="J21" s="22" t="s">
        <v>60</v>
      </c>
      <c r="L21" s="19"/>
    </row>
    <row r="22" spans="1:13" x14ac:dyDescent="0.25">
      <c r="A22" s="20"/>
      <c r="B22" s="21">
        <f>'bedragen op'!C11</f>
        <v>728.4</v>
      </c>
      <c r="D22" s="19"/>
      <c r="F22" s="28"/>
      <c r="I22" s="19"/>
      <c r="J22" s="19"/>
      <c r="L22" s="19"/>
    </row>
    <row r="23" spans="1:13" ht="13" x14ac:dyDescent="0.3">
      <c r="A23" s="19"/>
      <c r="B23" s="19"/>
      <c r="C23" s="19"/>
      <c r="D23" s="19"/>
      <c r="F23" s="28"/>
      <c r="H23" s="384" t="s">
        <v>61</v>
      </c>
      <c r="I23" s="384"/>
      <c r="J23" s="384"/>
      <c r="K23" s="384"/>
      <c r="L23" s="384"/>
      <c r="M23" s="384"/>
    </row>
    <row r="24" spans="1:13" x14ac:dyDescent="0.25">
      <c r="F24" s="28"/>
    </row>
    <row r="25" spans="1:13" x14ac:dyDescent="0.25">
      <c r="F25" s="28"/>
      <c r="H25" s="19" t="s">
        <v>87</v>
      </c>
      <c r="J25" s="19"/>
      <c r="K25" s="43">
        <f>'bedragen op'!C15</f>
        <v>20421.169999999998</v>
      </c>
      <c r="L25" s="19"/>
    </row>
    <row r="26" spans="1:13" x14ac:dyDescent="0.25">
      <c r="F26" s="28"/>
      <c r="I26" s="20"/>
      <c r="J26" s="43">
        <f>'bedragen op'!C16</f>
        <v>3403.04</v>
      </c>
      <c r="K26" s="19"/>
      <c r="L26" s="19"/>
    </row>
    <row r="27" spans="1:13" x14ac:dyDescent="0.25">
      <c r="F27" s="28"/>
      <c r="H27" s="19" t="s">
        <v>88</v>
      </c>
      <c r="J27" s="19"/>
      <c r="K27" s="43">
        <f>K25</f>
        <v>20421.169999999998</v>
      </c>
      <c r="L27" s="19"/>
    </row>
    <row r="28" spans="1:13" x14ac:dyDescent="0.25">
      <c r="F28" s="28"/>
      <c r="I28" s="20"/>
      <c r="J28" s="19" t="str">
        <f>TEXT(J26,"# ##0,00")&amp;" - (arbeidsvrijstelling - "&amp;TEXT(K27,"# ##0,00")&amp;")"</f>
        <v>3 403,04 - (arbeidsvrijstelling - 20 421,17)</v>
      </c>
      <c r="K28" s="19"/>
      <c r="L28" s="19"/>
    </row>
    <row r="29" spans="1:13" x14ac:dyDescent="0.25">
      <c r="F29" s="28"/>
      <c r="I29" s="19"/>
      <c r="J29" s="19"/>
      <c r="K29" s="19"/>
      <c r="L29" s="19"/>
    </row>
    <row r="30" spans="1:13" ht="13" x14ac:dyDescent="0.3">
      <c r="F30" s="28"/>
      <c r="H30" s="384" t="s">
        <v>66</v>
      </c>
      <c r="I30" s="384"/>
      <c r="J30" s="384"/>
      <c r="K30" s="384"/>
      <c r="L30" s="384"/>
      <c r="M30" s="384"/>
    </row>
    <row r="31" spans="1:13" ht="13" x14ac:dyDescent="0.3">
      <c r="F31" s="28"/>
      <c r="H31" s="36" t="s">
        <v>99</v>
      </c>
      <c r="I31" s="37"/>
      <c r="J31" s="37"/>
      <c r="K31" s="37"/>
      <c r="L31" s="37"/>
      <c r="M31" s="37"/>
    </row>
    <row r="32" spans="1:13" x14ac:dyDescent="0.25">
      <c r="F32" s="28"/>
      <c r="H32" s="17" t="s">
        <v>18</v>
      </c>
      <c r="I32" t="s">
        <v>95</v>
      </c>
    </row>
    <row r="33" spans="6:13" x14ac:dyDescent="0.25">
      <c r="F33" s="28"/>
      <c r="H33" s="17"/>
      <c r="I33" s="50" t="s">
        <v>97</v>
      </c>
    </row>
    <row r="34" spans="6:13" x14ac:dyDescent="0.25">
      <c r="F34" s="28"/>
      <c r="I34" s="410" t="s">
        <v>98</v>
      </c>
      <c r="J34" s="386"/>
      <c r="K34" s="386"/>
      <c r="L34" s="386"/>
      <c r="M34" s="386"/>
    </row>
    <row r="35" spans="6:13" x14ac:dyDescent="0.25">
      <c r="F35" s="28"/>
      <c r="H35" s="17" t="s">
        <v>18</v>
      </c>
      <c r="I35" s="26" t="s">
        <v>96</v>
      </c>
    </row>
    <row r="36" spans="6:13" x14ac:dyDescent="0.25">
      <c r="F36" s="28"/>
      <c r="I36" s="50" t="s">
        <v>97</v>
      </c>
    </row>
    <row r="37" spans="6:13" x14ac:dyDescent="0.25">
      <c r="F37" s="28"/>
      <c r="I37" s="410" t="s">
        <v>98</v>
      </c>
      <c r="J37" s="386"/>
      <c r="K37" s="386"/>
      <c r="L37" s="386"/>
      <c r="M37" s="386"/>
    </row>
    <row r="38" spans="6:13" x14ac:dyDescent="0.25">
      <c r="F38" s="28"/>
      <c r="I38" s="22" t="s">
        <v>100</v>
      </c>
      <c r="K38" s="23"/>
      <c r="L38" s="23"/>
    </row>
    <row r="39" spans="6:13" x14ac:dyDescent="0.25">
      <c r="F39" s="28"/>
      <c r="H39" t="s">
        <v>101</v>
      </c>
      <c r="I39" s="22"/>
      <c r="K39" s="23"/>
      <c r="L39" s="23"/>
    </row>
    <row r="40" spans="6:13" x14ac:dyDescent="0.25">
      <c r="F40" s="28"/>
      <c r="H40" s="20" t="s">
        <v>2</v>
      </c>
      <c r="I40" s="21">
        <f>'bedragen op'!C2</f>
        <v>8198.52</v>
      </c>
      <c r="J40" s="27" t="s">
        <v>62</v>
      </c>
    </row>
    <row r="41" spans="6:13" x14ac:dyDescent="0.25">
      <c r="F41" s="28"/>
      <c r="H41" s="20" t="s">
        <v>3</v>
      </c>
      <c r="I41" s="21">
        <f>'bedragen op'!C3</f>
        <v>12297.78</v>
      </c>
      <c r="J41" s="27" t="s">
        <v>62</v>
      </c>
    </row>
    <row r="42" spans="6:13" x14ac:dyDescent="0.25">
      <c r="F42" s="28"/>
      <c r="H42" s="20" t="s">
        <v>4</v>
      </c>
      <c r="I42" s="21">
        <f>'bedragen op'!C4</f>
        <v>16619.68</v>
      </c>
      <c r="J42" s="27" t="s">
        <v>62</v>
      </c>
    </row>
    <row r="43" spans="6:13" x14ac:dyDescent="0.25">
      <c r="F43" s="28"/>
      <c r="I43" s="21"/>
      <c r="J43" s="27"/>
    </row>
    <row r="44" spans="6:13" x14ac:dyDescent="0.25">
      <c r="F44" s="28"/>
      <c r="J44" s="35"/>
      <c r="K44" s="35"/>
      <c r="L44" s="35"/>
      <c r="M44" s="35"/>
    </row>
    <row r="45" spans="6:13" x14ac:dyDescent="0.25">
      <c r="I45" s="20"/>
      <c r="K45" s="19"/>
      <c r="L45" s="19"/>
    </row>
    <row r="46" spans="6:13" x14ac:dyDescent="0.25">
      <c r="H46" s="20"/>
      <c r="I46" s="21"/>
      <c r="J46" s="27"/>
      <c r="K46" s="34"/>
      <c r="L46" s="34"/>
    </row>
    <row r="47" spans="6:13" x14ac:dyDescent="0.25">
      <c r="H47" s="20"/>
      <c r="I47" s="21"/>
      <c r="J47" s="27"/>
    </row>
    <row r="48" spans="6:13" x14ac:dyDescent="0.25">
      <c r="H48" s="20"/>
      <c r="I48" s="21"/>
      <c r="J48" s="27"/>
    </row>
  </sheetData>
  <mergeCells count="15">
    <mergeCell ref="H15:M15"/>
    <mergeCell ref="A12:M12"/>
    <mergeCell ref="H13:M14"/>
    <mergeCell ref="A15:D15"/>
    <mergeCell ref="A13:D14"/>
    <mergeCell ref="I37:M37"/>
    <mergeCell ref="I34:M34"/>
    <mergeCell ref="H30:M30"/>
    <mergeCell ref="H23:M23"/>
    <mergeCell ref="A2:M2"/>
    <mergeCell ref="C4:D4"/>
    <mergeCell ref="H4:I4"/>
    <mergeCell ref="A18:D18"/>
    <mergeCell ref="A21:D21"/>
    <mergeCell ref="H20:M20"/>
  </mergeCells>
  <phoneticPr fontId="0" type="noConversion"/>
  <printOptions horizontalCentered="1"/>
  <pageMargins left="0.31496062992125984" right="0.35433070866141736" top="0.19" bottom="0.17" header="0.17" footer="0.1400000000000000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10" sqref="F10"/>
    </sheetView>
  </sheetViews>
  <sheetFormatPr baseColWidth="10" defaultRowHeight="12.5" x14ac:dyDescent="0.25"/>
  <cols>
    <col min="1" max="1" width="11.08984375" customWidth="1"/>
    <col min="2" max="2" width="17" customWidth="1"/>
    <col min="3" max="256" width="8.7265625" customWidth="1"/>
  </cols>
  <sheetData>
    <row r="1" spans="1:13" x14ac:dyDescent="0.25">
      <c r="B1" s="15" t="s">
        <v>51</v>
      </c>
      <c r="C1" s="30">
        <v>37803</v>
      </c>
      <c r="D1" s="33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412" t="s">
        <v>1</v>
      </c>
      <c r="B2" s="16" t="s">
        <v>2</v>
      </c>
      <c r="C2" s="32">
        <v>4764.96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412"/>
      <c r="B3" s="16" t="s">
        <v>3</v>
      </c>
      <c r="C3" s="32">
        <v>7147.44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x14ac:dyDescent="0.25">
      <c r="A4" s="412"/>
      <c r="B4" s="16" t="s">
        <v>4</v>
      </c>
      <c r="C4" s="32">
        <v>9529.93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25">
      <c r="A5" s="412" t="s">
        <v>5</v>
      </c>
      <c r="B5" s="16">
        <v>1</v>
      </c>
      <c r="C5" s="32">
        <v>942.34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x14ac:dyDescent="0.25">
      <c r="A6" s="412"/>
      <c r="B6" s="16">
        <v>2</v>
      </c>
      <c r="C6" s="32">
        <v>3211.12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x14ac:dyDescent="0.25">
      <c r="A7" s="412"/>
      <c r="B7" s="16">
        <v>3</v>
      </c>
      <c r="C7" s="32">
        <v>5130.9799999999996</v>
      </c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x14ac:dyDescent="0.25">
      <c r="A8" s="412"/>
      <c r="B8" s="16">
        <v>4</v>
      </c>
      <c r="C8" s="32">
        <v>7475.18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x14ac:dyDescent="0.25">
      <c r="A9" s="412"/>
      <c r="B9" s="16">
        <v>5</v>
      </c>
      <c r="C9" s="32">
        <v>8480.1299999999992</v>
      </c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413" t="s">
        <v>45</v>
      </c>
      <c r="B10" s="16" t="s">
        <v>80</v>
      </c>
      <c r="C10" s="32">
        <v>2382.48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x14ac:dyDescent="0.25">
      <c r="A11" s="413"/>
      <c r="B11" s="16" t="s">
        <v>8</v>
      </c>
      <c r="C11" s="32">
        <v>541.20000000000005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x14ac:dyDescent="0.25">
      <c r="A12" s="413" t="s">
        <v>53</v>
      </c>
      <c r="B12" s="16" t="s">
        <v>47</v>
      </c>
      <c r="C12" s="32">
        <v>1623.6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x14ac:dyDescent="0.25">
      <c r="A13" s="412"/>
      <c r="B13" s="16" t="s">
        <v>48</v>
      </c>
      <c r="C13" s="32">
        <v>17701.71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412"/>
      <c r="B14" s="16" t="s">
        <v>49</v>
      </c>
      <c r="C14" s="32">
        <v>17701.71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25" x14ac:dyDescent="0.25">
      <c r="A15" s="412"/>
      <c r="B15" s="16" t="s">
        <v>50</v>
      </c>
      <c r="C15" s="32">
        <v>15172.9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x14ac:dyDescent="0.25">
      <c r="A16" s="412"/>
      <c r="B16" s="16" t="s">
        <v>52</v>
      </c>
      <c r="C16" s="32">
        <v>2528.4499999999998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3" x14ac:dyDescent="0.25">
      <c r="A17" s="411" t="s">
        <v>76</v>
      </c>
      <c r="B17" s="39" t="s">
        <v>77</v>
      </c>
      <c r="C17" s="40">
        <f>C2</f>
        <v>4764.96</v>
      </c>
    </row>
    <row r="18" spans="1:3" x14ac:dyDescent="0.25">
      <c r="A18" s="411"/>
      <c r="B18" s="39" t="s">
        <v>78</v>
      </c>
      <c r="C18" s="40">
        <f>C3</f>
        <v>7147.44</v>
      </c>
    </row>
    <row r="19" spans="1:3" x14ac:dyDescent="0.25">
      <c r="A19" s="411"/>
      <c r="B19" s="39" t="s">
        <v>79</v>
      </c>
      <c r="C19" s="40">
        <f>C4</f>
        <v>9529.93</v>
      </c>
    </row>
  </sheetData>
  <mergeCells count="5">
    <mergeCell ref="A17:A19"/>
    <mergeCell ref="A2:A4"/>
    <mergeCell ref="A5:A9"/>
    <mergeCell ref="A10:A11"/>
    <mergeCell ref="A12:A16"/>
  </mergeCells>
  <phoneticPr fontId="0" type="noConversion"/>
  <printOptions headings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showRowColHeaders="0" workbookViewId="0">
      <selection activeCell="A15" sqref="A15:T15"/>
    </sheetView>
  </sheetViews>
  <sheetFormatPr baseColWidth="10" defaultRowHeight="12.5" x14ac:dyDescent="0.25"/>
  <cols>
    <col min="1" max="11" width="4.90625" customWidth="1"/>
    <col min="12" max="12" width="5" customWidth="1"/>
    <col min="13" max="103" width="4.90625" customWidth="1"/>
    <col min="104" max="256" width="8.7265625" customWidth="1"/>
  </cols>
  <sheetData>
    <row r="1" spans="1:20" x14ac:dyDescent="0.25">
      <c r="A1" s="64" t="s">
        <v>106</v>
      </c>
      <c r="B1" s="2"/>
      <c r="C1" s="2"/>
      <c r="D1" s="67"/>
      <c r="E1" s="52" t="s">
        <v>107</v>
      </c>
      <c r="F1" s="3"/>
      <c r="G1" s="3"/>
      <c r="H1" s="67"/>
      <c r="I1" s="52" t="s">
        <v>54</v>
      </c>
      <c r="J1" s="2"/>
      <c r="K1" s="2"/>
      <c r="L1" s="417">
        <v>38169</v>
      </c>
      <c r="M1" s="418"/>
      <c r="N1" s="64" t="s">
        <v>108</v>
      </c>
      <c r="O1" s="2"/>
      <c r="P1" s="2"/>
      <c r="Q1" s="2"/>
      <c r="R1" s="2"/>
      <c r="S1" s="66"/>
      <c r="T1" s="65"/>
    </row>
    <row r="2" spans="1:20" x14ac:dyDescent="0.25">
      <c r="A2" s="64" t="s">
        <v>109</v>
      </c>
      <c r="B2" s="2"/>
      <c r="C2" s="2"/>
      <c r="D2" s="64" t="s">
        <v>110</v>
      </c>
      <c r="E2" s="2"/>
      <c r="F2" s="2"/>
      <c r="G2" s="76"/>
      <c r="H2" s="414"/>
      <c r="I2" s="415"/>
      <c r="J2" s="2" t="s">
        <v>111</v>
      </c>
      <c r="K2" s="2"/>
      <c r="L2" s="2"/>
      <c r="M2" s="2"/>
      <c r="N2" s="414"/>
      <c r="O2" s="415"/>
      <c r="P2" s="64" t="s">
        <v>112</v>
      </c>
      <c r="Q2" s="2"/>
      <c r="R2" s="414"/>
      <c r="S2" s="415"/>
    </row>
    <row r="3" spans="1:20" x14ac:dyDescent="0.25">
      <c r="A3" s="64" t="s">
        <v>113</v>
      </c>
      <c r="B3" s="2"/>
      <c r="C3" s="2"/>
      <c r="D3" s="2"/>
      <c r="E3" s="414"/>
      <c r="F3" s="415"/>
      <c r="G3" s="64" t="s">
        <v>114</v>
      </c>
      <c r="H3" s="2"/>
      <c r="I3" s="2"/>
      <c r="J3" s="2"/>
      <c r="K3" s="2"/>
      <c r="L3" s="2"/>
      <c r="M3" s="2"/>
      <c r="N3" s="414"/>
      <c r="O3" s="415"/>
    </row>
    <row r="4" spans="1:20" ht="5.25" customHeight="1" thickBot="1" x14ac:dyDescent="0.3">
      <c r="A4" s="68"/>
      <c r="B4" s="68"/>
      <c r="C4" s="68"/>
      <c r="D4" s="68"/>
      <c r="E4" s="77"/>
      <c r="F4" s="77"/>
      <c r="G4" s="78"/>
      <c r="H4" s="78"/>
      <c r="I4" s="78"/>
      <c r="J4" s="78"/>
      <c r="K4" s="78"/>
      <c r="L4" s="78"/>
      <c r="M4" s="78"/>
      <c r="N4" s="77"/>
      <c r="O4" s="77"/>
      <c r="P4" s="68"/>
      <c r="Q4" s="68"/>
      <c r="R4" s="68"/>
      <c r="S4" s="68"/>
      <c r="T4" s="68"/>
    </row>
    <row r="5" spans="1:20" ht="13" x14ac:dyDescent="0.3">
      <c r="A5" s="393" t="s">
        <v>115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416"/>
    </row>
    <row r="6" spans="1:20" x14ac:dyDescent="0.25">
      <c r="A6" s="73"/>
      <c r="B6" s="52" t="s">
        <v>116</v>
      </c>
      <c r="C6" s="3"/>
      <c r="E6" s="3"/>
      <c r="F6" s="3"/>
      <c r="G6" s="3" t="s">
        <v>118</v>
      </c>
      <c r="H6" s="3"/>
      <c r="I6" s="3"/>
      <c r="J6" s="3"/>
      <c r="K6" s="3"/>
      <c r="L6" s="3"/>
      <c r="M6" s="3"/>
      <c r="N6" s="3"/>
      <c r="O6" s="3"/>
      <c r="P6" s="3" t="s">
        <v>122</v>
      </c>
      <c r="Q6" s="3"/>
      <c r="R6" s="3"/>
      <c r="S6" s="38"/>
      <c r="T6" s="71"/>
    </row>
    <row r="7" spans="1:20" x14ac:dyDescent="0.25">
      <c r="A7" s="73"/>
      <c r="B7" s="3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 t="s">
        <v>128</v>
      </c>
      <c r="T7" s="71"/>
    </row>
    <row r="8" spans="1:20" x14ac:dyDescent="0.25">
      <c r="A8" s="73"/>
      <c r="B8" s="52" t="s">
        <v>126</v>
      </c>
      <c r="C8" s="3"/>
      <c r="D8" s="3"/>
      <c r="E8" s="3"/>
      <c r="F8" s="3"/>
      <c r="G8" s="3" t="s">
        <v>120</v>
      </c>
      <c r="H8" s="3"/>
      <c r="I8" s="3"/>
      <c r="J8" s="3"/>
      <c r="K8" s="3"/>
      <c r="L8" s="3"/>
      <c r="M8" s="3"/>
      <c r="N8" s="3"/>
      <c r="O8" s="3"/>
      <c r="P8" s="3" t="s">
        <v>122</v>
      </c>
      <c r="Q8" s="3"/>
      <c r="R8" s="3"/>
      <c r="S8" s="38"/>
      <c r="T8" s="71"/>
    </row>
    <row r="9" spans="1:20" x14ac:dyDescent="0.25">
      <c r="A9" s="73"/>
      <c r="B9" s="53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 t="s">
        <v>129</v>
      </c>
      <c r="T9" s="71"/>
    </row>
    <row r="10" spans="1:20" x14ac:dyDescent="0.25">
      <c r="A10" s="73"/>
      <c r="B10" s="52" t="s">
        <v>127</v>
      </c>
      <c r="C10" s="3"/>
      <c r="D10" s="3"/>
      <c r="E10" s="3"/>
      <c r="F10" s="3"/>
      <c r="G10" s="3" t="s">
        <v>121</v>
      </c>
      <c r="H10" s="3"/>
      <c r="I10" s="3"/>
      <c r="J10" s="3"/>
      <c r="K10" s="3"/>
      <c r="L10" s="3"/>
      <c r="M10" s="3"/>
      <c r="N10" s="3"/>
      <c r="O10" s="3"/>
      <c r="P10" s="3" t="s">
        <v>122</v>
      </c>
      <c r="Q10" s="3"/>
      <c r="R10" s="3"/>
      <c r="S10" s="38"/>
      <c r="T10" s="71"/>
    </row>
    <row r="11" spans="1:20" x14ac:dyDescent="0.25">
      <c r="A11" s="73"/>
      <c r="B11" s="53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0" t="s">
        <v>130</v>
      </c>
      <c r="T11" s="71"/>
    </row>
    <row r="12" spans="1:20" x14ac:dyDescent="0.25">
      <c r="A12" s="73"/>
      <c r="B12" s="52" t="s">
        <v>25</v>
      </c>
      <c r="C12" s="3"/>
      <c r="D12" s="3"/>
      <c r="E12" s="3"/>
      <c r="F12" s="85" t="s">
        <v>131</v>
      </c>
      <c r="G12" s="3" t="s">
        <v>132</v>
      </c>
      <c r="H12" s="3"/>
      <c r="I12" s="3"/>
      <c r="J12" s="3"/>
      <c r="K12" s="3"/>
      <c r="L12" s="3"/>
      <c r="M12" s="3"/>
      <c r="N12" s="3" t="s">
        <v>30</v>
      </c>
      <c r="O12" s="3"/>
      <c r="P12" s="3"/>
      <c r="Q12" s="3"/>
      <c r="R12" s="3"/>
      <c r="S12" s="38"/>
      <c r="T12" s="71"/>
    </row>
    <row r="13" spans="1:20" x14ac:dyDescent="0.25">
      <c r="A13" s="73"/>
      <c r="B13" s="53"/>
      <c r="C13" s="69"/>
      <c r="D13" s="69"/>
      <c r="E13" s="69"/>
      <c r="F13" s="86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  <c r="T13" s="71"/>
    </row>
    <row r="14" spans="1:20" ht="13" thickBot="1" x14ac:dyDescent="0.3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2"/>
    </row>
    <row r="15" spans="1:20" ht="13" x14ac:dyDescent="0.3">
      <c r="A15" s="393" t="s">
        <v>123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416"/>
    </row>
    <row r="16" spans="1:20" x14ac:dyDescent="0.25">
      <c r="A16" s="73"/>
      <c r="B16" s="52" t="s">
        <v>116</v>
      </c>
      <c r="C16" s="3"/>
      <c r="D16" s="3"/>
      <c r="E16" s="3"/>
      <c r="F16" s="3"/>
      <c r="G16" s="3" t="s">
        <v>125</v>
      </c>
      <c r="H16" s="3"/>
      <c r="I16" s="3"/>
      <c r="J16" s="3"/>
      <c r="K16" s="3"/>
      <c r="L16" s="3"/>
      <c r="M16" s="3"/>
      <c r="N16" s="3"/>
      <c r="O16" s="3"/>
      <c r="P16" s="3" t="s">
        <v>122</v>
      </c>
      <c r="Q16" s="3"/>
      <c r="R16" s="3"/>
      <c r="S16" s="38"/>
      <c r="T16" s="71"/>
    </row>
    <row r="17" spans="1:20" x14ac:dyDescent="0.25">
      <c r="A17" s="73"/>
      <c r="B17" s="53"/>
      <c r="C17" s="69" t="s">
        <v>117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71"/>
    </row>
    <row r="18" spans="1:20" x14ac:dyDescent="0.25">
      <c r="A18" s="73"/>
      <c r="B18" s="52" t="s">
        <v>119</v>
      </c>
      <c r="C18" s="3"/>
      <c r="D18" s="3"/>
      <c r="E18" s="3"/>
      <c r="F18" s="3"/>
      <c r="G18" s="3" t="s">
        <v>125</v>
      </c>
      <c r="H18" s="3"/>
      <c r="I18" s="3"/>
      <c r="J18" s="3"/>
      <c r="K18" s="3"/>
      <c r="L18" s="3"/>
      <c r="M18" s="3"/>
      <c r="N18" s="3"/>
      <c r="O18" s="3"/>
      <c r="P18" s="3" t="s">
        <v>122</v>
      </c>
      <c r="Q18" s="3"/>
      <c r="R18" s="3"/>
      <c r="S18" s="38"/>
      <c r="T18" s="71"/>
    </row>
    <row r="19" spans="1:20" x14ac:dyDescent="0.25">
      <c r="A19" s="73"/>
      <c r="B19" s="53"/>
      <c r="C19" s="69" t="s">
        <v>117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71"/>
    </row>
    <row r="20" spans="1:20" x14ac:dyDescent="0.25">
      <c r="A20" s="73"/>
      <c r="B20" s="52" t="s">
        <v>111</v>
      </c>
      <c r="C20" s="3"/>
      <c r="D20" s="3"/>
      <c r="E20" s="3"/>
      <c r="F20" s="3"/>
      <c r="G20" s="3" t="s">
        <v>125</v>
      </c>
      <c r="H20" s="3"/>
      <c r="I20" s="3"/>
      <c r="J20" s="3"/>
      <c r="K20" s="3"/>
      <c r="L20" s="3"/>
      <c r="M20" s="3"/>
      <c r="N20" s="3"/>
      <c r="O20" s="3"/>
      <c r="P20" s="3" t="s">
        <v>122</v>
      </c>
      <c r="Q20" s="3"/>
      <c r="R20" s="3"/>
      <c r="S20" s="38"/>
      <c r="T20" s="71"/>
    </row>
    <row r="21" spans="1:20" x14ac:dyDescent="0.25">
      <c r="A21" s="73"/>
      <c r="B21" s="53"/>
      <c r="C21" s="69" t="s">
        <v>117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/>
    </row>
    <row r="22" spans="1:20" x14ac:dyDescent="0.25">
      <c r="A22" s="73"/>
      <c r="B22" s="52" t="s">
        <v>124</v>
      </c>
      <c r="C22" s="3"/>
      <c r="D22" s="3"/>
      <c r="E22" s="3"/>
      <c r="F22" s="3"/>
      <c r="G22" s="3" t="s">
        <v>125</v>
      </c>
      <c r="H22" s="3"/>
      <c r="I22" s="3"/>
      <c r="J22" s="3"/>
      <c r="K22" s="3"/>
      <c r="L22" s="3"/>
      <c r="M22" s="3"/>
      <c r="N22" s="3"/>
      <c r="O22" s="3"/>
      <c r="P22" s="3" t="s">
        <v>122</v>
      </c>
      <c r="Q22" s="3"/>
      <c r="R22" s="3"/>
      <c r="S22" s="38"/>
      <c r="T22" s="71"/>
    </row>
    <row r="23" spans="1:20" x14ac:dyDescent="0.25">
      <c r="A23" s="73"/>
      <c r="B23" s="53"/>
      <c r="C23" s="69" t="s">
        <v>117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/>
    </row>
    <row r="24" spans="1:20" x14ac:dyDescent="0.25">
      <c r="A24" s="73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71"/>
    </row>
    <row r="25" spans="1:20" x14ac:dyDescent="0.25">
      <c r="A25" s="73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4"/>
      <c r="T25" s="71"/>
    </row>
    <row r="26" spans="1:20" ht="13" thickBot="1" x14ac:dyDescent="0.3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2"/>
    </row>
  </sheetData>
  <mergeCells count="8">
    <mergeCell ref="N3:O3"/>
    <mergeCell ref="E3:F3"/>
    <mergeCell ref="A5:T5"/>
    <mergeCell ref="A15:T15"/>
    <mergeCell ref="L1:M1"/>
    <mergeCell ref="N2:O2"/>
    <mergeCell ref="R2:S2"/>
    <mergeCell ref="H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J5"/>
  <sheetViews>
    <sheetView workbookViewId="0">
      <selection activeCell="B32" sqref="B32"/>
    </sheetView>
  </sheetViews>
  <sheetFormatPr baseColWidth="10" defaultRowHeight="12.5" x14ac:dyDescent="0.25"/>
  <cols>
    <col min="1" max="5" width="9.08984375" customWidth="1"/>
    <col min="6" max="6" width="9.36328125" customWidth="1"/>
    <col min="7" max="8" width="9.08984375" customWidth="1"/>
    <col min="9" max="9" width="14.54296875" bestFit="1" customWidth="1"/>
    <col min="10" max="256" width="8.7265625" customWidth="1"/>
  </cols>
  <sheetData>
    <row r="1" spans="1:10" ht="13" x14ac:dyDescent="0.3">
      <c r="A1" s="321">
        <f>berekening!E1</f>
        <v>44440</v>
      </c>
      <c r="B1" s="2">
        <f>VLOOKUP($A$1,$G$2:$J$5,2,TRUE)</f>
        <v>100</v>
      </c>
      <c r="C1" s="2">
        <f>VLOOKUP($A$1,$G$2:$J$5,3,TRUE)</f>
        <v>72</v>
      </c>
      <c r="D1" s="322" t="str">
        <f>VLOOKUP($A$1,$G$2:$J$5,4,TRUE)</f>
        <v>IT -28%</v>
      </c>
      <c r="G1" s="319" t="s">
        <v>51</v>
      </c>
      <c r="H1" s="319" t="s">
        <v>216</v>
      </c>
      <c r="I1" s="319" t="s">
        <v>217</v>
      </c>
      <c r="J1" s="319" t="s">
        <v>220</v>
      </c>
    </row>
    <row r="2" spans="1:10" ht="13" x14ac:dyDescent="0.3">
      <c r="G2" s="320">
        <v>38169</v>
      </c>
      <c r="H2" s="319">
        <v>3</v>
      </c>
      <c r="I2" s="319">
        <v>2</v>
      </c>
      <c r="J2" s="319" t="s">
        <v>218</v>
      </c>
    </row>
    <row r="3" spans="1:10" ht="13" x14ac:dyDescent="0.3">
      <c r="G3" s="320">
        <v>39234</v>
      </c>
      <c r="H3" s="319">
        <v>100</v>
      </c>
      <c r="I3" s="319">
        <v>72</v>
      </c>
      <c r="J3" s="319" t="s">
        <v>219</v>
      </c>
    </row>
    <row r="4" spans="1:10" ht="13" x14ac:dyDescent="0.3">
      <c r="G4" s="319"/>
      <c r="H4" s="319"/>
      <c r="I4" s="319"/>
      <c r="J4" s="319"/>
    </row>
    <row r="5" spans="1:10" ht="13" x14ac:dyDescent="0.3">
      <c r="G5" s="319"/>
      <c r="H5" s="319"/>
      <c r="I5" s="319"/>
      <c r="J5" s="319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workbookViewId="0">
      <selection activeCell="H8" sqref="H8"/>
    </sheetView>
  </sheetViews>
  <sheetFormatPr baseColWidth="10" defaultRowHeight="12.5" x14ac:dyDescent="0.25"/>
  <cols>
    <col min="1" max="1" width="13.08984375" bestFit="1" customWidth="1"/>
    <col min="2" max="2" width="3.6328125" bestFit="1" customWidth="1"/>
    <col min="3" max="3" width="2.36328125" bestFit="1" customWidth="1"/>
    <col min="4" max="4" width="9.08984375" customWidth="1"/>
    <col min="5" max="5" width="2.453125" bestFit="1" customWidth="1"/>
    <col min="6" max="6" width="5.08984375" bestFit="1" customWidth="1"/>
    <col min="7" max="24" width="9.08984375" customWidth="1"/>
    <col min="25" max="25" width="13.90625" bestFit="1" customWidth="1"/>
    <col min="26" max="26" width="14.6328125" bestFit="1" customWidth="1"/>
    <col min="27" max="27" width="9.08984375" customWidth="1"/>
    <col min="28" max="28" width="19.54296875" bestFit="1" customWidth="1"/>
    <col min="29" max="256" width="8.7265625" customWidth="1"/>
  </cols>
  <sheetData>
    <row r="1" spans="1:11" x14ac:dyDescent="0.25">
      <c r="A1" s="419" t="s">
        <v>54</v>
      </c>
      <c r="B1" s="419"/>
      <c r="C1" s="419"/>
      <c r="D1" s="18">
        <f>berekening!E1</f>
        <v>44440</v>
      </c>
    </row>
    <row r="2" spans="1:11" ht="13" x14ac:dyDescent="0.3">
      <c r="A2" s="4" t="s">
        <v>0</v>
      </c>
      <c r="B2" s="5" t="s">
        <v>1</v>
      </c>
      <c r="C2" s="2" t="s">
        <v>2</v>
      </c>
      <c r="D2" s="6">
        <f>'bedragen op'!C2</f>
        <v>8198.52</v>
      </c>
      <c r="F2" s="10" t="s">
        <v>5</v>
      </c>
      <c r="G2" s="7">
        <v>1</v>
      </c>
      <c r="H2" s="199">
        <f>'bedragen op'!C5</f>
        <v>1323.26</v>
      </c>
      <c r="I2" s="2"/>
      <c r="J2" s="2"/>
      <c r="K2" s="2"/>
    </row>
    <row r="3" spans="1:11" x14ac:dyDescent="0.25">
      <c r="A3" s="2"/>
      <c r="B3" s="2"/>
      <c r="C3" s="2" t="s">
        <v>3</v>
      </c>
      <c r="D3" s="6">
        <f>'bedragen op'!C3</f>
        <v>12297.78</v>
      </c>
      <c r="F3" s="6"/>
      <c r="G3" s="7">
        <v>2</v>
      </c>
      <c r="H3" s="199">
        <f>'bedragen op'!C6</f>
        <v>4376.8100000000004</v>
      </c>
      <c r="I3" s="2"/>
      <c r="J3" s="2"/>
      <c r="K3" s="2"/>
    </row>
    <row r="4" spans="1:11" x14ac:dyDescent="0.25">
      <c r="A4" s="2"/>
      <c r="B4" s="2"/>
      <c r="C4" s="2" t="s">
        <v>4</v>
      </c>
      <c r="D4" s="6">
        <f>'bedragen op'!C4</f>
        <v>16619.68</v>
      </c>
      <c r="F4" s="6"/>
      <c r="G4" s="7">
        <v>3</v>
      </c>
      <c r="H4" s="199">
        <f>'bedragen op'!C7</f>
        <v>6960.74</v>
      </c>
      <c r="I4" s="2"/>
      <c r="J4" s="2"/>
      <c r="K4" s="2"/>
    </row>
    <row r="5" spans="1:11" x14ac:dyDescent="0.25">
      <c r="A5" s="2"/>
      <c r="B5" s="2"/>
      <c r="C5" s="2"/>
      <c r="D5" s="6"/>
      <c r="F5" s="6"/>
      <c r="G5" s="7">
        <v>4</v>
      </c>
      <c r="H5" s="199">
        <f>'bedragen op'!C8</f>
        <v>10115.799999999999</v>
      </c>
      <c r="I5" s="2"/>
      <c r="J5" s="2"/>
      <c r="K5" s="2"/>
    </row>
    <row r="6" spans="1:11" x14ac:dyDescent="0.25">
      <c r="A6" s="2"/>
      <c r="B6" s="2"/>
      <c r="C6" s="2"/>
      <c r="D6" s="6"/>
      <c r="F6" s="6"/>
      <c r="G6" s="7">
        <v>5</v>
      </c>
      <c r="H6" s="199">
        <f>'bedragen op'!C9</f>
        <v>11468.35</v>
      </c>
      <c r="I6" s="2"/>
      <c r="J6" s="2"/>
      <c r="K6" s="2"/>
    </row>
    <row r="7" spans="1:11" ht="13" x14ac:dyDescent="0.3">
      <c r="A7" s="4" t="s">
        <v>6</v>
      </c>
      <c r="B7" s="5" t="s">
        <v>1</v>
      </c>
      <c r="C7" s="2" t="s">
        <v>72</v>
      </c>
      <c r="D7" s="2"/>
      <c r="E7" s="2"/>
      <c r="F7" s="2"/>
      <c r="G7" s="2"/>
      <c r="H7" s="199">
        <f>'bedragen op'!C10</f>
        <v>4099.26</v>
      </c>
      <c r="I7" s="2"/>
      <c r="J7" s="2"/>
      <c r="K7" s="2"/>
    </row>
    <row r="8" spans="1:11" ht="13" x14ac:dyDescent="0.3">
      <c r="A8" s="2"/>
      <c r="B8" s="5"/>
      <c r="C8" s="2" t="s">
        <v>8</v>
      </c>
      <c r="D8" s="2"/>
      <c r="E8" s="2"/>
      <c r="F8" s="2"/>
      <c r="G8" s="2"/>
      <c r="H8" s="199">
        <f>'bedragen op'!C11</f>
        <v>728.4</v>
      </c>
      <c r="I8" s="2"/>
      <c r="J8" s="2"/>
      <c r="K8" s="2"/>
    </row>
    <row r="9" spans="1:11" ht="13" x14ac:dyDescent="0.3">
      <c r="A9" s="2"/>
      <c r="B9" s="5"/>
      <c r="C9" s="2" t="s">
        <v>22</v>
      </c>
      <c r="D9" s="2"/>
      <c r="E9" s="2"/>
      <c r="F9" s="2"/>
      <c r="G9" s="2"/>
      <c r="H9" s="11">
        <v>0.1</v>
      </c>
      <c r="I9" s="2"/>
      <c r="J9" s="2"/>
      <c r="K9" s="2"/>
    </row>
    <row r="10" spans="1:11" ht="13" x14ac:dyDescent="0.3">
      <c r="A10" s="2"/>
      <c r="B10" s="5" t="s">
        <v>5</v>
      </c>
      <c r="C10" s="2" t="s">
        <v>7</v>
      </c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 t="s">
        <v>10</v>
      </c>
      <c r="E11" s="2"/>
      <c r="F11" s="2"/>
      <c r="G11" s="2"/>
      <c r="H11" s="6">
        <f>'bedragen op'!C12</f>
        <v>1000000</v>
      </c>
      <c r="I11" s="2"/>
      <c r="J11" s="2"/>
      <c r="K11" s="2"/>
    </row>
    <row r="12" spans="1:11" x14ac:dyDescent="0.25">
      <c r="A12" s="2"/>
      <c r="B12" s="2"/>
      <c r="C12" s="2"/>
      <c r="D12" s="2" t="s">
        <v>9</v>
      </c>
      <c r="E12" s="2"/>
      <c r="F12" s="2"/>
      <c r="G12" s="2"/>
      <c r="H12" s="6">
        <f>'bedragen op'!C13</f>
        <v>1000000</v>
      </c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8" t="s">
        <v>11</v>
      </c>
      <c r="I13" s="2"/>
      <c r="J13" s="2"/>
      <c r="K13" s="2"/>
    </row>
    <row r="14" spans="1:11" x14ac:dyDescent="0.25">
      <c r="A14" s="2"/>
      <c r="B14" s="2"/>
      <c r="C14" s="2" t="s">
        <v>12</v>
      </c>
      <c r="D14" s="2"/>
      <c r="E14" s="2"/>
      <c r="F14" s="2"/>
      <c r="G14" s="2"/>
      <c r="H14" s="6">
        <f>'bedragen op'!C14</f>
        <v>23824.7</v>
      </c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8" t="s">
        <v>11</v>
      </c>
      <c r="I15" s="2"/>
      <c r="J15" s="2"/>
      <c r="K15" s="2"/>
    </row>
    <row r="16" spans="1:11" x14ac:dyDescent="0.25">
      <c r="A16" s="2"/>
      <c r="B16" s="2"/>
      <c r="C16" s="2" t="s">
        <v>13</v>
      </c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 t="s">
        <v>14</v>
      </c>
      <c r="E17" s="2"/>
      <c r="F17" s="2"/>
      <c r="G17" s="2"/>
      <c r="H17" s="6">
        <f>'bedragen op'!C16</f>
        <v>3403.04</v>
      </c>
      <c r="I17" s="2"/>
      <c r="J17" s="2"/>
      <c r="K17" s="2"/>
    </row>
    <row r="18" spans="1:11" x14ac:dyDescent="0.25">
      <c r="A18" s="2"/>
      <c r="B18" s="2"/>
      <c r="C18" s="2"/>
      <c r="D18" s="2" t="s">
        <v>15</v>
      </c>
      <c r="E18" s="2"/>
      <c r="F18" s="2"/>
      <c r="G18" s="2"/>
      <c r="H18" s="6">
        <f>'bedragen op'!C15</f>
        <v>20421.169999999998</v>
      </c>
      <c r="I18" s="6">
        <f>'bedragen op'!C16</f>
        <v>3403.04</v>
      </c>
      <c r="J18" s="2"/>
      <c r="K18" s="2"/>
    </row>
    <row r="19" spans="1:11" x14ac:dyDescent="0.25">
      <c r="A19" s="2"/>
      <c r="B19" s="2"/>
      <c r="C19" s="2"/>
      <c r="D19" s="2" t="str">
        <f>"indien arbeidsvrijstelling &gt; "&amp;H18</f>
        <v>indien arbeidsvrijstelling &gt; 20421,17</v>
      </c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 t="str">
        <f>I18&amp;"-(arbeidsvrijstelling-"&amp;H18&amp;")"</f>
        <v>3403,04-(arbeidsvrijstelling-20421,17)</v>
      </c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 t="s">
        <v>16</v>
      </c>
      <c r="D21" s="2"/>
      <c r="E21" s="2" t="s">
        <v>18</v>
      </c>
      <c r="F21" s="2" t="s">
        <v>19</v>
      </c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 t="s">
        <v>17</v>
      </c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 t="s">
        <v>20</v>
      </c>
      <c r="E23" s="2"/>
      <c r="F23" s="2"/>
      <c r="G23" s="2"/>
      <c r="H23" s="2"/>
      <c r="I23" s="2"/>
      <c r="J23" s="2"/>
      <c r="K23" s="2"/>
    </row>
  </sheetData>
  <mergeCells count="1">
    <mergeCell ref="A1:C1"/>
  </mergeCells>
  <phoneticPr fontId="0" type="noConversion"/>
  <dataValidations count="1">
    <dataValidation operator="greaterThanOrEqual" allowBlank="1" showInputMessage="1" showErrorMessage="1" sqref="D1"/>
  </dataValidations>
  <pageMargins left="0.75" right="0.75" top="1" bottom="1" header="0.5" footer="0.5"/>
  <pageSetup orientation="portrait" verticalDpi="300" r:id="rId1"/>
  <headerFooter alignWithMargins="0"/>
  <cellWatches>
    <cellWatch r="H8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14"/>
  <sheetViews>
    <sheetView showGridLines="0" workbookViewId="0">
      <selection activeCell="F19" sqref="F19"/>
    </sheetView>
  </sheetViews>
  <sheetFormatPr baseColWidth="10" defaultRowHeight="12.5" x14ac:dyDescent="0.25"/>
  <cols>
    <col min="1" max="2" width="9.08984375" customWidth="1"/>
    <col min="3" max="3" width="3.54296875" customWidth="1"/>
    <col min="4" max="4" width="3.90625" customWidth="1"/>
    <col min="5" max="5" width="9.453125" bestFit="1" customWidth="1"/>
    <col min="6" max="6" width="9.08984375" customWidth="1"/>
    <col min="7" max="7" width="28" customWidth="1"/>
    <col min="8" max="8" width="9.08984375" customWidth="1"/>
    <col min="9" max="9" width="27.36328125" customWidth="1"/>
    <col min="10" max="256" width="8.7265625" customWidth="1"/>
  </cols>
  <sheetData>
    <row r="1" spans="1:9" ht="13" x14ac:dyDescent="0.3">
      <c r="A1" s="52" t="s">
        <v>230</v>
      </c>
      <c r="B1" s="3" t="s">
        <v>231</v>
      </c>
      <c r="C1" s="3"/>
      <c r="D1" s="3"/>
      <c r="E1" s="325">
        <v>39630</v>
      </c>
      <c r="F1" t="s">
        <v>234</v>
      </c>
      <c r="G1" s="334" t="s">
        <v>220</v>
      </c>
      <c r="H1" s="336" t="s">
        <v>257</v>
      </c>
      <c r="I1" s="335" t="s">
        <v>256</v>
      </c>
    </row>
    <row r="2" spans="1:9" x14ac:dyDescent="0.25">
      <c r="A2" s="328" t="s">
        <v>226</v>
      </c>
      <c r="B2" s="2" t="s">
        <v>227</v>
      </c>
      <c r="C2" s="2"/>
      <c r="D2" s="2"/>
      <c r="E2" s="322" t="b">
        <f>AND(E5&lt;E1,E7&lt;3)</f>
        <v>0</v>
      </c>
      <c r="F2" s="19">
        <f>IF(E2=TRUE,'bedragen op'!C12,'bedragen op'!C13)</f>
        <v>1000000</v>
      </c>
      <c r="G2" s="214" t="str">
        <f>A9&amp;TEXT(F2,"#.##0,00")&amp;")"</f>
        <v>vrijstelling(max1.000.000,00)</v>
      </c>
      <c r="H2" s="329" t="s">
        <v>233</v>
      </c>
      <c r="I2" s="324" t="s">
        <v>236</v>
      </c>
    </row>
    <row r="3" spans="1:9" x14ac:dyDescent="0.25">
      <c r="A3" s="326"/>
      <c r="B3" s="19" t="s">
        <v>228</v>
      </c>
      <c r="C3" s="19"/>
      <c r="D3" s="19"/>
      <c r="E3" s="324"/>
      <c r="G3" s="326">
        <f>IF(F2&gt;=E6,E6,F2)</f>
        <v>0</v>
      </c>
      <c r="H3" s="19" t="s">
        <v>235</v>
      </c>
      <c r="I3" s="324" t="s">
        <v>237</v>
      </c>
    </row>
    <row r="4" spans="1:9" x14ac:dyDescent="0.25">
      <c r="A4" s="327" t="s">
        <v>229</v>
      </c>
      <c r="B4" s="69" t="s">
        <v>232</v>
      </c>
      <c r="C4" s="69"/>
      <c r="D4" s="69"/>
      <c r="E4" s="70"/>
      <c r="G4" s="151">
        <f>E6-G3</f>
        <v>0</v>
      </c>
      <c r="H4" s="19" t="s">
        <v>240</v>
      </c>
      <c r="I4" s="324" t="s">
        <v>239</v>
      </c>
    </row>
    <row r="5" spans="1:9" x14ac:dyDescent="0.25">
      <c r="D5" s="17" t="s">
        <v>51</v>
      </c>
      <c r="E5" s="330">
        <f>berekening!E1</f>
        <v>44440</v>
      </c>
      <c r="G5" s="332" t="str">
        <f>IF(E2=FALSE,A10,A11)</f>
        <v>af te trekken (saldo/2)</v>
      </c>
      <c r="H5" s="19" t="s">
        <v>241</v>
      </c>
      <c r="I5" s="324"/>
    </row>
    <row r="6" spans="1:9" x14ac:dyDescent="0.25">
      <c r="D6" s="124" t="s">
        <v>238</v>
      </c>
      <c r="E6" s="40">
        <f>berekening!J15</f>
        <v>0</v>
      </c>
      <c r="G6" s="333" t="str">
        <f>IF(E2=TRUE,G4," ")</f>
        <v xml:space="preserve"> </v>
      </c>
      <c r="H6" s="19" t="s">
        <v>242</v>
      </c>
      <c r="I6" s="324" t="s">
        <v>243</v>
      </c>
    </row>
    <row r="7" spans="1:9" x14ac:dyDescent="0.25">
      <c r="D7" s="17" t="s">
        <v>21</v>
      </c>
      <c r="E7" s="331">
        <f>berekening!B2</f>
        <v>0</v>
      </c>
      <c r="G7" s="333">
        <f>IF(E2&lt;&gt;TRUE,G4*0.5,A13)</f>
        <v>0</v>
      </c>
      <c r="H7" s="19" t="s">
        <v>244</v>
      </c>
      <c r="I7" s="324" t="s">
        <v>245</v>
      </c>
    </row>
    <row r="8" spans="1:9" x14ac:dyDescent="0.25">
      <c r="D8" s="17"/>
      <c r="G8" s="214" t="str">
        <f>IF(E2=TRUE,A12,"")</f>
        <v/>
      </c>
      <c r="H8" s="19" t="s">
        <v>246</v>
      </c>
      <c r="I8" s="324" t="s">
        <v>247</v>
      </c>
    </row>
    <row r="9" spans="1:9" x14ac:dyDescent="0.25">
      <c r="A9" s="52" t="s">
        <v>255</v>
      </c>
      <c r="B9" s="3"/>
      <c r="C9" s="3"/>
      <c r="D9" s="3"/>
      <c r="E9" s="38"/>
      <c r="G9" s="151" t="str">
        <f>IF(E2=TRUE,G4,"")</f>
        <v/>
      </c>
      <c r="H9" s="19" t="s">
        <v>248</v>
      </c>
      <c r="I9" s="324" t="s">
        <v>249</v>
      </c>
    </row>
    <row r="10" spans="1:9" x14ac:dyDescent="0.25">
      <c r="A10" s="326" t="s">
        <v>252</v>
      </c>
      <c r="B10" s="19"/>
      <c r="C10" s="19"/>
      <c r="D10" s="19"/>
      <c r="E10" s="324"/>
      <c r="G10" s="326" t="str">
        <f>IF(E2=TRUE,A13,"")</f>
        <v/>
      </c>
      <c r="H10" s="19" t="s">
        <v>250</v>
      </c>
      <c r="I10" s="324" t="s">
        <v>251</v>
      </c>
    </row>
    <row r="11" spans="1:9" x14ac:dyDescent="0.25">
      <c r="A11" s="326" t="s">
        <v>253</v>
      </c>
      <c r="B11" s="19"/>
      <c r="C11" s="19"/>
      <c r="D11" s="19"/>
      <c r="E11" s="324"/>
      <c r="G11" s="53"/>
      <c r="H11" s="69"/>
      <c r="I11" s="70"/>
    </row>
    <row r="12" spans="1:9" x14ac:dyDescent="0.25">
      <c r="A12" s="326" t="s">
        <v>254</v>
      </c>
      <c r="B12" s="19"/>
      <c r="C12" s="19"/>
      <c r="D12" s="19"/>
      <c r="E12" s="324"/>
    </row>
    <row r="13" spans="1:9" x14ac:dyDescent="0.25">
      <c r="A13" s="326" t="s">
        <v>128</v>
      </c>
      <c r="B13" s="19"/>
      <c r="C13" s="19"/>
      <c r="D13" s="19"/>
      <c r="E13" s="324"/>
    </row>
    <row r="14" spans="1:9" x14ac:dyDescent="0.25">
      <c r="A14" s="53"/>
      <c r="B14" s="69"/>
      <c r="C14" s="69"/>
      <c r="D14" s="69"/>
      <c r="E14" s="70"/>
    </row>
  </sheetData>
  <phoneticPr fontId="15" type="noConversion"/>
  <conditionalFormatting sqref="G6">
    <cfRule type="expression" dxfId="1" priority="1" stopIfTrue="1">
      <formula>$B$2&lt;3</formula>
    </cfRule>
  </conditionalFormatting>
  <conditionalFormatting sqref="G7">
    <cfRule type="expression" dxfId="0" priority="2" stopIfTrue="1">
      <formula>$B$2&gt;=3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40"/>
  <sheetViews>
    <sheetView showGridLines="0" showRowColHeaders="0" workbookViewId="0">
      <selection activeCell="C25" sqref="C25"/>
    </sheetView>
  </sheetViews>
  <sheetFormatPr baseColWidth="10" defaultRowHeight="12.5" x14ac:dyDescent="0.25"/>
  <cols>
    <col min="1" max="4" width="10.6328125" customWidth="1"/>
    <col min="5" max="5" width="4.6328125" customWidth="1"/>
    <col min="6" max="6" width="1.54296875" customWidth="1"/>
    <col min="7" max="7" width="4.90625" customWidth="1"/>
    <col min="8" max="11" width="10.6328125" customWidth="1"/>
    <col min="12" max="12" width="12.453125" customWidth="1"/>
    <col min="13" max="256" width="8.7265625" customWidth="1"/>
  </cols>
  <sheetData>
    <row r="1" spans="1:13" ht="13" x14ac:dyDescent="0.3">
      <c r="A1" s="129" t="s">
        <v>56</v>
      </c>
      <c r="B1" s="4"/>
      <c r="C1" s="198">
        <f>berekening!E1</f>
        <v>44440</v>
      </c>
      <c r="D1" s="42"/>
    </row>
    <row r="2" spans="1:13" ht="18" x14ac:dyDescent="0.4">
      <c r="A2" s="387" t="s">
        <v>64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6" customHeight="1" x14ac:dyDescent="0.25"/>
    <row r="4" spans="1:13" ht="12.75" customHeight="1" x14ac:dyDescent="0.35">
      <c r="C4" s="388" t="s">
        <v>1</v>
      </c>
      <c r="D4" s="388"/>
      <c r="F4" s="28"/>
      <c r="H4" s="388" t="s">
        <v>5</v>
      </c>
      <c r="I4" s="388"/>
    </row>
    <row r="5" spans="1:13" ht="12.75" customHeight="1" x14ac:dyDescent="0.25">
      <c r="C5" s="17" t="s">
        <v>2</v>
      </c>
      <c r="D5" s="1">
        <f>'bedragen op'!C2</f>
        <v>8198.52</v>
      </c>
      <c r="F5" s="28"/>
      <c r="H5">
        <v>1</v>
      </c>
      <c r="I5" s="1">
        <f>'bedragen op'!C5</f>
        <v>1323.26</v>
      </c>
    </row>
    <row r="6" spans="1:13" x14ac:dyDescent="0.25">
      <c r="C6" s="17" t="s">
        <v>3</v>
      </c>
      <c r="D6" s="1">
        <f>'bedragen op'!C3</f>
        <v>12297.78</v>
      </c>
      <c r="F6" s="28"/>
      <c r="H6">
        <v>2</v>
      </c>
      <c r="I6" s="1">
        <f>'bedragen op'!C6</f>
        <v>4376.8100000000004</v>
      </c>
    </row>
    <row r="7" spans="1:13" x14ac:dyDescent="0.25">
      <c r="C7" s="17" t="s">
        <v>4</v>
      </c>
      <c r="D7" s="1">
        <f>'bedragen op'!C4</f>
        <v>16619.68</v>
      </c>
      <c r="F7" s="28"/>
      <c r="H7">
        <v>3</v>
      </c>
      <c r="I7" s="1">
        <f>'bedragen op'!C7</f>
        <v>6960.74</v>
      </c>
    </row>
    <row r="8" spans="1:13" x14ac:dyDescent="0.25">
      <c r="F8" s="28"/>
      <c r="H8">
        <v>4</v>
      </c>
      <c r="I8" s="1">
        <f>'bedragen op'!C8</f>
        <v>10115.799999999999</v>
      </c>
    </row>
    <row r="9" spans="1:13" x14ac:dyDescent="0.25">
      <c r="F9" s="28"/>
      <c r="H9">
        <v>5</v>
      </c>
      <c r="I9" s="1">
        <f>'bedragen op'!C9</f>
        <v>11468.35</v>
      </c>
    </row>
    <row r="10" spans="1:13" ht="6" customHeight="1" x14ac:dyDescent="0.25"/>
    <row r="11" spans="1:13" ht="3.75" customHeight="1" x14ac:dyDescent="0.25"/>
    <row r="12" spans="1:13" ht="18" x14ac:dyDescent="0.4">
      <c r="A12" s="387" t="s">
        <v>6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</row>
    <row r="13" spans="1:13" ht="12.75" customHeight="1" x14ac:dyDescent="0.25">
      <c r="A13" s="385" t="s">
        <v>1</v>
      </c>
      <c r="B13" s="385"/>
      <c r="C13" s="385"/>
      <c r="D13" s="385"/>
      <c r="H13" s="385" t="s">
        <v>5</v>
      </c>
      <c r="I13" s="385"/>
      <c r="J13" s="385"/>
      <c r="K13" s="385"/>
      <c r="L13" s="385"/>
      <c r="M13" s="385"/>
    </row>
    <row r="14" spans="1:13" x14ac:dyDescent="0.25">
      <c r="A14" s="385"/>
      <c r="B14" s="385"/>
      <c r="C14" s="385"/>
      <c r="D14" s="385"/>
      <c r="F14" s="28"/>
      <c r="H14" s="385"/>
      <c r="I14" s="385"/>
      <c r="J14" s="385"/>
      <c r="K14" s="385"/>
      <c r="L14" s="385"/>
      <c r="M14" s="385"/>
    </row>
    <row r="15" spans="1:13" ht="13" x14ac:dyDescent="0.3">
      <c r="A15" s="384" t="s">
        <v>191</v>
      </c>
      <c r="B15" s="384"/>
      <c r="C15" s="384"/>
      <c r="D15" s="384"/>
      <c r="F15" s="28"/>
      <c r="H15" s="384" t="s">
        <v>191</v>
      </c>
      <c r="I15" s="384"/>
      <c r="J15" s="384"/>
      <c r="K15" s="384"/>
      <c r="L15" s="384"/>
      <c r="M15" s="384"/>
    </row>
    <row r="16" spans="1:13" x14ac:dyDescent="0.25">
      <c r="A16" s="24"/>
      <c r="B16" s="21">
        <f>'bedragen op'!C2/2</f>
        <v>4099.26</v>
      </c>
      <c r="C16" t="s">
        <v>63</v>
      </c>
      <c r="D16" s="19"/>
      <c r="F16" s="28"/>
      <c r="I16" s="26" t="s">
        <v>90</v>
      </c>
      <c r="J16" s="1">
        <f>'bedragen op'!C12</f>
        <v>1000000</v>
      </c>
      <c r="K16" s="23"/>
      <c r="L16" s="23"/>
    </row>
    <row r="17" spans="1:13" x14ac:dyDescent="0.25">
      <c r="A17" s="19"/>
      <c r="B17" s="19"/>
      <c r="C17" s="19"/>
      <c r="D17" s="19"/>
      <c r="F17" s="28"/>
      <c r="I17" t="s">
        <v>89</v>
      </c>
      <c r="J17" s="19">
        <f>'bedragen op'!C13</f>
        <v>1000000</v>
      </c>
      <c r="K17" s="22" t="s">
        <v>60</v>
      </c>
      <c r="L17" s="19"/>
    </row>
    <row r="18" spans="1:13" ht="13" x14ac:dyDescent="0.3">
      <c r="A18" s="384" t="s">
        <v>58</v>
      </c>
      <c r="B18" s="384"/>
      <c r="C18" s="384"/>
      <c r="D18" s="384"/>
      <c r="F18" s="28"/>
      <c r="I18" s="19"/>
      <c r="L18" s="19"/>
    </row>
    <row r="19" spans="1:13" x14ac:dyDescent="0.25">
      <c r="A19" s="19"/>
      <c r="B19" s="304" t="str">
        <f>IF('vrijst arbeid ivt 7_06'!$D$2=TRUE,'vrijst arbeid ivt 7_06'!G19,"10%")</f>
        <v>50% van  schijf van 0,00 tot 5 174,22</v>
      </c>
      <c r="D19" s="19"/>
      <c r="F19" s="28"/>
      <c r="I19" s="19"/>
      <c r="J19" s="19"/>
      <c r="K19" s="19"/>
      <c r="L19" s="19"/>
    </row>
    <row r="20" spans="1:13" ht="13" x14ac:dyDescent="0.3">
      <c r="A20" s="19"/>
      <c r="B20" s="304" t="str">
        <f>IF('vrijst arbeid ivt 7_06'!$D$2=TRUE,'vrijst arbeid ivt 7_06'!G20,"")</f>
        <v>25%  van schijf van 5 174,23 tot 7 761,32</v>
      </c>
      <c r="C20" s="19"/>
      <c r="D20" s="19"/>
      <c r="F20" s="28"/>
      <c r="H20" s="384" t="s">
        <v>58</v>
      </c>
      <c r="I20" s="384"/>
      <c r="J20" s="384"/>
      <c r="K20" s="384"/>
      <c r="L20" s="384"/>
      <c r="M20" s="384"/>
    </row>
    <row r="21" spans="1:13" ht="13" x14ac:dyDescent="0.3">
      <c r="A21" s="384" t="s">
        <v>59</v>
      </c>
      <c r="B21" s="384"/>
      <c r="C21" s="384"/>
      <c r="D21" s="384"/>
      <c r="F21" s="28"/>
      <c r="I21" s="43">
        <f>'bedragen op'!C14</f>
        <v>23824.7</v>
      </c>
      <c r="J21" s="22" t="s">
        <v>60</v>
      </c>
      <c r="L21" s="19"/>
    </row>
    <row r="22" spans="1:13" x14ac:dyDescent="0.25">
      <c r="A22" s="20"/>
      <c r="B22" s="21">
        <f>'bedragen op'!C11</f>
        <v>728.4</v>
      </c>
      <c r="D22" s="19"/>
      <c r="F22" s="28"/>
      <c r="I22" s="19"/>
      <c r="J22" s="19"/>
      <c r="L22" s="19"/>
    </row>
    <row r="23" spans="1:13" ht="13" x14ac:dyDescent="0.3">
      <c r="A23" s="19"/>
      <c r="B23" s="19"/>
      <c r="C23" s="19"/>
      <c r="D23" s="19"/>
      <c r="F23" s="28"/>
      <c r="H23" s="384" t="s">
        <v>61</v>
      </c>
      <c r="I23" s="384"/>
      <c r="J23" s="384"/>
      <c r="K23" s="384"/>
      <c r="L23" s="384"/>
      <c r="M23" s="384"/>
    </row>
    <row r="24" spans="1:13" x14ac:dyDescent="0.25">
      <c r="F24" s="28"/>
    </row>
    <row r="25" spans="1:13" x14ac:dyDescent="0.25">
      <c r="F25" s="28"/>
      <c r="H25" s="19" t="s">
        <v>87</v>
      </c>
      <c r="J25" s="19"/>
      <c r="K25" s="43">
        <f>'bedragen op'!C15</f>
        <v>20421.169999999998</v>
      </c>
      <c r="L25" s="19"/>
    </row>
    <row r="26" spans="1:13" x14ac:dyDescent="0.25">
      <c r="F26" s="28"/>
      <c r="I26" s="20"/>
      <c r="J26" s="43">
        <f>'bedragen op'!C16</f>
        <v>3403.04</v>
      </c>
      <c r="K26" s="19"/>
      <c r="L26" s="19"/>
    </row>
    <row r="27" spans="1:13" x14ac:dyDescent="0.25">
      <c r="F27" s="28"/>
      <c r="H27" s="19" t="s">
        <v>88</v>
      </c>
      <c r="J27" s="19"/>
      <c r="K27" s="43">
        <f>K25</f>
        <v>20421.169999999998</v>
      </c>
      <c r="L27" s="19"/>
    </row>
    <row r="28" spans="1:13" x14ac:dyDescent="0.25">
      <c r="F28" s="28"/>
      <c r="I28" s="20"/>
      <c r="J28" s="19" t="str">
        <f>TEXT(J26,"# ##0,00")&amp;" - (arbeidsvrijstelling - "&amp;TEXT(K27,"# ##0,00")&amp;")"</f>
        <v>3 403,04 - (arbeidsvrijstelling - 20 421,17)</v>
      </c>
      <c r="K28" s="19"/>
      <c r="L28" s="19"/>
    </row>
    <row r="29" spans="1:13" x14ac:dyDescent="0.25">
      <c r="F29" s="28"/>
      <c r="I29" s="19"/>
      <c r="J29" s="19"/>
      <c r="K29" s="19"/>
      <c r="L29" s="19"/>
    </row>
    <row r="30" spans="1:13" ht="13" x14ac:dyDescent="0.3">
      <c r="F30" s="28"/>
      <c r="H30" s="384" t="s">
        <v>66</v>
      </c>
      <c r="I30" s="384"/>
      <c r="J30" s="384"/>
      <c r="K30" s="384"/>
      <c r="L30" s="384"/>
      <c r="M30" s="384"/>
    </row>
    <row r="31" spans="1:13" ht="13" x14ac:dyDescent="0.3">
      <c r="F31" s="28"/>
      <c r="H31" s="36" t="s">
        <v>67</v>
      </c>
      <c r="I31" s="37"/>
      <c r="J31" s="37"/>
      <c r="K31" s="37"/>
      <c r="L31" s="37"/>
      <c r="M31" s="37"/>
    </row>
    <row r="32" spans="1:13" ht="27" customHeight="1" x14ac:dyDescent="0.25">
      <c r="F32" s="28"/>
      <c r="I32" s="386" t="s">
        <v>68</v>
      </c>
      <c r="J32" s="386"/>
      <c r="K32" s="386"/>
      <c r="L32" s="386"/>
      <c r="M32" s="386"/>
    </row>
    <row r="33" spans="6:13" x14ac:dyDescent="0.25">
      <c r="F33" s="28"/>
      <c r="I33" s="20" t="s">
        <v>69</v>
      </c>
      <c r="K33" s="23"/>
      <c r="L33" s="23"/>
    </row>
    <row r="34" spans="6:13" x14ac:dyDescent="0.25">
      <c r="F34" s="28"/>
      <c r="H34" s="20" t="s">
        <v>2</v>
      </c>
      <c r="I34" s="21">
        <f>'bedragen op'!C17</f>
        <v>8198.52</v>
      </c>
      <c r="J34" s="27" t="s">
        <v>62</v>
      </c>
    </row>
    <row r="35" spans="6:13" x14ac:dyDescent="0.25">
      <c r="F35" s="28"/>
      <c r="H35" s="20" t="s">
        <v>3</v>
      </c>
      <c r="I35" s="21">
        <f>'bedragen op'!C18</f>
        <v>12297.78</v>
      </c>
      <c r="J35" s="27" t="s">
        <v>62</v>
      </c>
    </row>
    <row r="36" spans="6:13" x14ac:dyDescent="0.25">
      <c r="F36" s="28"/>
      <c r="H36" s="20" t="s">
        <v>4</v>
      </c>
      <c r="I36" s="21">
        <f>'bedragen op'!C19</f>
        <v>16619.68</v>
      </c>
      <c r="J36" s="27" t="s">
        <v>62</v>
      </c>
    </row>
    <row r="37" spans="6:13" x14ac:dyDescent="0.25">
      <c r="F37" s="28"/>
      <c r="H37" s="26" t="s">
        <v>70</v>
      </c>
      <c r="I37" s="21"/>
      <c r="J37" s="27"/>
    </row>
    <row r="38" spans="6:13" ht="39" customHeight="1" x14ac:dyDescent="0.25">
      <c r="F38" s="28"/>
      <c r="I38" s="386" t="s">
        <v>71</v>
      </c>
      <c r="J38" s="386"/>
      <c r="K38" s="386"/>
      <c r="L38" s="386"/>
      <c r="M38" s="386"/>
    </row>
    <row r="39" spans="6:13" x14ac:dyDescent="0.25">
      <c r="F39" s="28"/>
      <c r="I39" s="20" t="s">
        <v>69</v>
      </c>
      <c r="K39" s="19"/>
      <c r="L39" s="19"/>
    </row>
    <row r="40" spans="6:13" x14ac:dyDescent="0.25">
      <c r="F40" s="28"/>
      <c r="H40" s="20" t="str">
        <f>H36</f>
        <v>C</v>
      </c>
      <c r="I40" s="21">
        <f>'bedragen op'!C19</f>
        <v>16619.68</v>
      </c>
      <c r="J40" s="27" t="s">
        <v>62</v>
      </c>
    </row>
  </sheetData>
  <mergeCells count="15">
    <mergeCell ref="H23:M23"/>
    <mergeCell ref="H20:M20"/>
    <mergeCell ref="H15:M15"/>
    <mergeCell ref="A12:M12"/>
    <mergeCell ref="H13:M14"/>
    <mergeCell ref="A15:D15"/>
    <mergeCell ref="A13:D14"/>
    <mergeCell ref="I32:M32"/>
    <mergeCell ref="H30:M30"/>
    <mergeCell ref="I38:M38"/>
    <mergeCell ref="A2:M2"/>
    <mergeCell ref="C4:D4"/>
    <mergeCell ref="H4:I4"/>
    <mergeCell ref="A18:D18"/>
    <mergeCell ref="A21:D21"/>
  </mergeCells>
  <phoneticPr fontId="0" type="noConversion"/>
  <printOptions horizontalCentered="1"/>
  <pageMargins left="0.31496062992125984" right="0.35433070866141736" top="0.19" bottom="0.17" header="0.17" footer="0.140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opLeftCell="A27" workbookViewId="0">
      <selection activeCell="B31" sqref="B31"/>
    </sheetView>
  </sheetViews>
  <sheetFormatPr baseColWidth="10" defaultRowHeight="12.5" outlineLevelRow="1" x14ac:dyDescent="0.25"/>
  <cols>
    <col min="1" max="1" width="1.54296875" customWidth="1"/>
    <col min="2" max="2" width="12.453125" customWidth="1"/>
    <col min="3" max="4" width="4.90625" customWidth="1"/>
    <col min="5" max="5" width="6.54296875" customWidth="1"/>
    <col min="6" max="11" width="4.90625" customWidth="1"/>
    <col min="12" max="12" width="5" customWidth="1"/>
    <col min="13" max="22" width="4.90625" customWidth="1"/>
    <col min="23" max="23" width="1.90625" customWidth="1"/>
    <col min="24" max="26" width="4.90625" customWidth="1"/>
    <col min="27" max="102" width="12.6328125" customWidth="1"/>
    <col min="103" max="103" width="4.90625" customWidth="1"/>
    <col min="104" max="256" width="8.7265625" customWidth="1"/>
  </cols>
  <sheetData>
    <row r="1" spans="1:23" hidden="1" outlineLevel="1" x14ac:dyDescent="0.25">
      <c r="B1" t="s">
        <v>106</v>
      </c>
      <c r="E1" s="104"/>
      <c r="K1" t="s">
        <v>54</v>
      </c>
      <c r="N1" s="104"/>
      <c r="O1" s="104"/>
    </row>
    <row r="2" spans="1:23" hidden="1" outlineLevel="1" x14ac:dyDescent="0.25">
      <c r="B2" t="s">
        <v>107</v>
      </c>
      <c r="E2" s="104"/>
    </row>
    <row r="3" spans="1:23" hidden="1" outlineLevel="1" x14ac:dyDescent="0.25">
      <c r="B3" s="107" t="s">
        <v>138</v>
      </c>
      <c r="C3" s="105"/>
      <c r="D3" s="105" t="s">
        <v>140</v>
      </c>
      <c r="E3" s="105" t="s">
        <v>110</v>
      </c>
      <c r="F3" s="105"/>
      <c r="G3" s="105"/>
      <c r="H3" s="105"/>
      <c r="I3" s="106"/>
      <c r="J3" s="106"/>
      <c r="K3" s="105" t="s">
        <v>133</v>
      </c>
      <c r="L3" s="105"/>
      <c r="M3" s="106"/>
      <c r="N3" s="108"/>
    </row>
    <row r="4" spans="1:23" hidden="1" outlineLevel="1" x14ac:dyDescent="0.25">
      <c r="B4" s="109"/>
      <c r="C4" s="19"/>
      <c r="D4" s="19"/>
      <c r="E4" s="19" t="s">
        <v>111</v>
      </c>
      <c r="F4" s="19"/>
      <c r="G4" s="19"/>
      <c r="H4" s="19"/>
      <c r="I4" s="110"/>
      <c r="J4" s="110"/>
      <c r="K4" s="19"/>
      <c r="L4" s="19"/>
      <c r="M4" s="19"/>
      <c r="N4" s="111"/>
    </row>
    <row r="5" spans="1:23" hidden="1" outlineLevel="1" x14ac:dyDescent="0.25">
      <c r="B5" s="109"/>
      <c r="C5" s="19"/>
      <c r="D5" s="19"/>
      <c r="E5" s="19" t="s">
        <v>141</v>
      </c>
      <c r="F5" s="19"/>
      <c r="G5" s="19"/>
      <c r="H5" s="19"/>
      <c r="I5" s="110"/>
      <c r="J5" s="110"/>
      <c r="K5" s="19"/>
      <c r="L5" s="19"/>
      <c r="M5" s="19"/>
      <c r="N5" s="111"/>
    </row>
    <row r="6" spans="1:23" hidden="1" outlineLevel="1" x14ac:dyDescent="0.25">
      <c r="B6" s="112"/>
      <c r="C6" s="113"/>
      <c r="D6" s="113"/>
      <c r="E6" s="113" t="s">
        <v>142</v>
      </c>
      <c r="F6" s="113"/>
      <c r="G6" s="113"/>
      <c r="H6" s="113"/>
      <c r="I6" s="114"/>
      <c r="J6" s="114"/>
      <c r="K6" s="113"/>
      <c r="L6" s="113"/>
      <c r="M6" s="113"/>
      <c r="N6" s="115"/>
    </row>
    <row r="7" spans="1:23" ht="5.25" hidden="1" customHeight="1" outlineLevel="1" thickBot="1" x14ac:dyDescent="0.3">
      <c r="A7" s="75"/>
      <c r="B7" s="75"/>
      <c r="C7" s="75"/>
      <c r="D7" s="75"/>
      <c r="E7" s="116"/>
      <c r="F7" s="116"/>
      <c r="G7" s="75"/>
      <c r="H7" s="75"/>
      <c r="I7" s="75"/>
      <c r="J7" s="75"/>
      <c r="K7" s="75"/>
      <c r="L7" s="75"/>
      <c r="M7" s="75"/>
      <c r="N7" s="116"/>
      <c r="O7" s="116"/>
      <c r="P7" s="75"/>
      <c r="Q7" s="75"/>
      <c r="R7" s="75"/>
      <c r="S7" s="75"/>
      <c r="T7" s="75"/>
      <c r="U7" s="117"/>
      <c r="V7" s="117"/>
    </row>
    <row r="8" spans="1:23" ht="13" hidden="1" outlineLevel="1" x14ac:dyDescent="0.3">
      <c r="A8" s="393" t="s">
        <v>115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118"/>
      <c r="V8" s="118"/>
      <c r="W8" s="119"/>
    </row>
    <row r="9" spans="1:23" hidden="1" outlineLevel="1" x14ac:dyDescent="0.25">
      <c r="A9" s="73"/>
      <c r="B9" s="90"/>
      <c r="C9" s="89"/>
      <c r="D9" s="89"/>
      <c r="E9" s="89"/>
      <c r="F9" s="90" t="s">
        <v>134</v>
      </c>
      <c r="G9" s="89"/>
      <c r="H9" s="123" t="s">
        <v>136</v>
      </c>
      <c r="I9" s="120"/>
      <c r="J9" s="120"/>
      <c r="K9" s="120"/>
      <c r="L9" s="120"/>
      <c r="M9" s="120"/>
      <c r="N9" s="120"/>
      <c r="O9" s="120"/>
      <c r="P9" s="89"/>
      <c r="Q9" s="89"/>
      <c r="R9" s="89"/>
      <c r="S9" s="89"/>
      <c r="T9" s="90" t="s">
        <v>122</v>
      </c>
      <c r="U9" s="89"/>
      <c r="V9" s="96"/>
      <c r="W9" s="88"/>
    </row>
    <row r="10" spans="1:23" hidden="1" outlineLevel="1" x14ac:dyDescent="0.25">
      <c r="A10" s="73"/>
      <c r="B10" s="90" t="s">
        <v>113</v>
      </c>
      <c r="C10" s="89"/>
      <c r="D10" s="89"/>
      <c r="E10" s="89"/>
      <c r="F10" s="90"/>
      <c r="G10" s="89"/>
      <c r="H10" s="90" t="s">
        <v>137</v>
      </c>
      <c r="I10" s="89"/>
      <c r="J10" s="89"/>
      <c r="K10" s="89"/>
      <c r="L10" s="89"/>
      <c r="M10" s="89"/>
      <c r="N10" s="89"/>
      <c r="O10" s="395">
        <v>1500</v>
      </c>
      <c r="P10" s="395"/>
      <c r="Q10" s="89"/>
      <c r="R10" s="89"/>
      <c r="S10" s="89"/>
      <c r="T10" s="90"/>
      <c r="U10" s="89"/>
      <c r="V10" s="96" t="s">
        <v>128</v>
      </c>
      <c r="W10" s="88"/>
    </row>
    <row r="11" spans="1:23" hidden="1" outlineLevel="1" x14ac:dyDescent="0.25">
      <c r="A11" s="73"/>
      <c r="B11" s="87" t="s">
        <v>110</v>
      </c>
      <c r="C11" s="19"/>
      <c r="D11" s="19"/>
      <c r="E11" s="19"/>
      <c r="F11" s="87"/>
      <c r="G11" s="19"/>
      <c r="H11" s="94">
        <v>0.1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91"/>
      <c r="U11" s="19"/>
      <c r="V11" s="102" t="s">
        <v>129</v>
      </c>
      <c r="W11" s="88"/>
    </row>
    <row r="12" spans="1:23" hidden="1" outlineLevel="1" x14ac:dyDescent="0.25">
      <c r="A12" s="73"/>
      <c r="B12" s="87" t="s">
        <v>135</v>
      </c>
      <c r="C12" s="19"/>
      <c r="D12" s="19"/>
      <c r="E12" s="19"/>
      <c r="F12" s="87"/>
      <c r="G12" s="19"/>
      <c r="H12" s="391">
        <v>541.23</v>
      </c>
      <c r="I12" s="392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91"/>
      <c r="U12" s="19"/>
      <c r="V12" s="102" t="s">
        <v>130</v>
      </c>
      <c r="W12" s="88"/>
    </row>
    <row r="13" spans="1:23" hidden="1" outlineLevel="1" x14ac:dyDescent="0.25">
      <c r="A13" s="73"/>
      <c r="B13" s="97"/>
      <c r="C13" s="19"/>
      <c r="D13" s="19"/>
      <c r="E13" s="19"/>
      <c r="F13" s="87"/>
      <c r="G13" s="19"/>
      <c r="H13" s="8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7"/>
      <c r="U13" s="19"/>
      <c r="V13" s="102"/>
      <c r="W13" s="88"/>
    </row>
    <row r="14" spans="1:23" hidden="1" outlineLevel="1" x14ac:dyDescent="0.25">
      <c r="A14" s="73"/>
      <c r="B14" s="90" t="s">
        <v>25</v>
      </c>
      <c r="C14" s="89"/>
      <c r="D14" s="89"/>
      <c r="E14" s="89"/>
      <c r="F14" s="95" t="s">
        <v>131</v>
      </c>
      <c r="G14" s="89" t="s">
        <v>132</v>
      </c>
      <c r="H14" s="89"/>
      <c r="I14" s="89"/>
      <c r="J14" s="89"/>
      <c r="K14" s="89"/>
      <c r="L14" s="89"/>
      <c r="M14" s="89"/>
      <c r="N14" s="89" t="s">
        <v>30</v>
      </c>
      <c r="O14" s="89"/>
      <c r="P14" s="89"/>
      <c r="Q14" s="89"/>
      <c r="R14" s="89"/>
      <c r="S14" s="89"/>
      <c r="T14" s="101"/>
      <c r="U14" s="89"/>
      <c r="V14" s="96"/>
      <c r="W14" s="88"/>
    </row>
    <row r="15" spans="1:23" hidden="1" outlineLevel="1" x14ac:dyDescent="0.25">
      <c r="A15" s="73"/>
      <c r="B15" s="97"/>
      <c r="C15" s="98"/>
      <c r="D15" s="98"/>
      <c r="E15" s="98"/>
      <c r="F15" s="99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03"/>
      <c r="U15" s="98"/>
      <c r="V15" s="100"/>
      <c r="W15" s="88"/>
    </row>
    <row r="16" spans="1:23" ht="13" hidden="1" outlineLevel="1" thickBot="1" x14ac:dyDescent="0.3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92"/>
      <c r="V16" s="92"/>
      <c r="W16" s="71"/>
    </row>
    <row r="17" spans="1:23" ht="13" hidden="1" outlineLevel="1" x14ac:dyDescent="0.3">
      <c r="A17" s="393" t="s">
        <v>123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92"/>
      <c r="V17" s="92"/>
      <c r="W17" s="71"/>
    </row>
    <row r="18" spans="1:23" hidden="1" outlineLevel="1" x14ac:dyDescent="0.25">
      <c r="A18" s="73"/>
      <c r="B18" s="19"/>
      <c r="C18" s="19"/>
      <c r="D18" s="19"/>
      <c r="E18" s="19"/>
      <c r="F18" s="87" t="s">
        <v>138</v>
      </c>
      <c r="H18" s="121" t="s">
        <v>125</v>
      </c>
      <c r="I18" s="26"/>
      <c r="J18" s="26"/>
      <c r="K18" s="26"/>
      <c r="L18" s="26"/>
      <c r="M18" s="26"/>
      <c r="N18" s="26"/>
      <c r="O18" s="26"/>
      <c r="P18" s="122"/>
      <c r="Q18" s="87" t="s">
        <v>139</v>
      </c>
      <c r="R18" s="19"/>
      <c r="S18" s="19"/>
      <c r="T18" s="87" t="s">
        <v>122</v>
      </c>
      <c r="U18" s="19"/>
      <c r="V18" s="19"/>
      <c r="W18" s="88"/>
    </row>
    <row r="19" spans="1:23" hidden="1" outlineLevel="1" x14ac:dyDescent="0.25">
      <c r="A19" s="73"/>
      <c r="B19" s="89" t="s">
        <v>116</v>
      </c>
      <c r="C19" s="89"/>
      <c r="D19" s="89"/>
      <c r="E19" s="89"/>
      <c r="F19" s="90"/>
      <c r="G19" s="89"/>
      <c r="H19" s="90"/>
      <c r="I19" s="89"/>
      <c r="J19" s="89"/>
      <c r="K19" s="89"/>
      <c r="L19" s="89"/>
      <c r="M19" s="89"/>
      <c r="N19" s="89"/>
      <c r="O19" s="89"/>
      <c r="P19" s="89"/>
      <c r="Q19" s="90"/>
      <c r="R19" s="89"/>
      <c r="S19" s="89"/>
      <c r="T19" s="93"/>
      <c r="U19" s="89"/>
      <c r="V19" s="89"/>
      <c r="W19" s="88"/>
    </row>
    <row r="20" spans="1:23" hidden="1" outlineLevel="1" x14ac:dyDescent="0.25">
      <c r="A20" s="73"/>
      <c r="B20" s="19" t="s">
        <v>119</v>
      </c>
      <c r="C20" s="19"/>
      <c r="D20" s="19"/>
      <c r="E20" s="19"/>
      <c r="F20" s="87"/>
      <c r="G20" s="19"/>
      <c r="H20" s="87"/>
      <c r="I20" s="19"/>
      <c r="J20" s="19"/>
      <c r="K20" s="19"/>
      <c r="L20" s="19"/>
      <c r="M20" s="19"/>
      <c r="N20" s="19"/>
      <c r="O20" s="19"/>
      <c r="Q20" s="87"/>
      <c r="R20" s="19"/>
      <c r="S20" s="19"/>
      <c r="T20" s="87"/>
      <c r="U20" s="19"/>
      <c r="V20" s="19"/>
      <c r="W20" s="88"/>
    </row>
    <row r="21" spans="1:23" hidden="1" outlineLevel="1" x14ac:dyDescent="0.25">
      <c r="A21" s="73"/>
      <c r="B21" s="19" t="s">
        <v>111</v>
      </c>
      <c r="C21" s="19"/>
      <c r="D21" s="19"/>
      <c r="E21" s="19"/>
      <c r="F21" s="87"/>
      <c r="G21" s="19"/>
      <c r="H21" s="87"/>
      <c r="I21" s="19"/>
      <c r="J21" s="19"/>
      <c r="K21" s="19"/>
      <c r="M21" s="19"/>
      <c r="N21" s="19"/>
      <c r="O21" s="19"/>
      <c r="P21" s="19"/>
      <c r="Q21" s="87"/>
      <c r="R21" s="19"/>
      <c r="S21" s="19"/>
      <c r="T21" s="91"/>
      <c r="U21" s="19"/>
      <c r="V21" s="19"/>
      <c r="W21" s="88"/>
    </row>
    <row r="22" spans="1:23" hidden="1" outlineLevel="1" x14ac:dyDescent="0.25">
      <c r="A22" s="73"/>
      <c r="B22" s="19" t="s">
        <v>124</v>
      </c>
      <c r="C22" s="19"/>
      <c r="D22" s="19"/>
      <c r="E22" s="19"/>
      <c r="F22" s="87"/>
      <c r="G22" s="19"/>
      <c r="H22" s="87"/>
      <c r="I22" s="19"/>
      <c r="J22" s="19"/>
      <c r="K22" s="19"/>
      <c r="L22" s="19"/>
      <c r="M22" s="19"/>
      <c r="N22" s="19"/>
      <c r="O22" s="19"/>
      <c r="P22" s="19"/>
      <c r="Q22" s="87"/>
      <c r="R22" s="19"/>
      <c r="S22" s="19"/>
      <c r="T22" s="91"/>
      <c r="U22" s="19"/>
      <c r="V22" s="19"/>
      <c r="W22" s="88"/>
    </row>
    <row r="23" spans="1:23" hidden="1" outlineLevel="1" x14ac:dyDescent="0.25">
      <c r="A23" s="7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91"/>
      <c r="U23" s="19"/>
      <c r="V23" s="19"/>
      <c r="W23" s="88"/>
    </row>
    <row r="24" spans="1:23" hidden="1" outlineLevel="1" x14ac:dyDescent="0.25">
      <c r="A24" s="7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91"/>
      <c r="U24" s="19"/>
      <c r="V24" s="19"/>
      <c r="W24" s="88"/>
    </row>
    <row r="25" spans="1:23" hidden="1" outlineLevel="1" x14ac:dyDescent="0.25">
      <c r="A25" s="7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91"/>
      <c r="U25" s="19"/>
      <c r="V25" s="19"/>
      <c r="W25" s="88"/>
    </row>
    <row r="26" spans="1:23" ht="13" hidden="1" outlineLevel="1" thickBot="1" x14ac:dyDescent="0.3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389"/>
      <c r="U26" s="389"/>
      <c r="V26" s="389"/>
      <c r="W26" s="390"/>
    </row>
    <row r="27" spans="1:23" collapsed="1" x14ac:dyDescent="0.25"/>
    <row r="30" spans="1:23" x14ac:dyDescent="0.25">
      <c r="B30" t="b">
        <f>OR(berekening!B1="a",berekening!B1="b",berekening!B1="c")</f>
        <v>0</v>
      </c>
      <c r="C30" t="s">
        <v>213</v>
      </c>
    </row>
  </sheetData>
  <mergeCells count="5">
    <mergeCell ref="T26:W26"/>
    <mergeCell ref="H12:I12"/>
    <mergeCell ref="A8:T8"/>
    <mergeCell ref="A17:T17"/>
    <mergeCell ref="O10:P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18"/>
  <sheetViews>
    <sheetView workbookViewId="0">
      <selection activeCell="B15" sqref="B15"/>
    </sheetView>
  </sheetViews>
  <sheetFormatPr baseColWidth="10" defaultRowHeight="12.5" x14ac:dyDescent="0.25"/>
  <cols>
    <col min="1" max="1" width="39.54296875" customWidth="1"/>
    <col min="2" max="2" width="9.453125" bestFit="1" customWidth="1"/>
    <col min="3" max="256" width="8.7265625" customWidth="1"/>
  </cols>
  <sheetData>
    <row r="1" spans="1:2" x14ac:dyDescent="0.25">
      <c r="A1" t="s">
        <v>212</v>
      </c>
      <c r="B1" t="b">
        <f>berekening!B1="c"</f>
        <v>0</v>
      </c>
    </row>
    <row r="2" spans="1:2" x14ac:dyDescent="0.25">
      <c r="A2" t="s">
        <v>205</v>
      </c>
      <c r="B2" t="b">
        <f>berekening!E3="ja"</f>
        <v>0</v>
      </c>
    </row>
    <row r="3" spans="1:2" x14ac:dyDescent="0.25">
      <c r="A3" t="s">
        <v>206</v>
      </c>
      <c r="B3" s="1">
        <f>'bedragen op'!C3</f>
        <v>12297.78</v>
      </c>
    </row>
    <row r="4" spans="1:2" x14ac:dyDescent="0.25">
      <c r="A4" t="s">
        <v>208</v>
      </c>
      <c r="B4" s="1" t="e">
        <f>berekening!E13-berekening!E31</f>
        <v>#N/A</v>
      </c>
    </row>
    <row r="7" spans="1:2" x14ac:dyDescent="0.25">
      <c r="A7" t="s">
        <v>207</v>
      </c>
      <c r="B7" t="e">
        <f>B4&gt;B3</f>
        <v>#N/A</v>
      </c>
    </row>
    <row r="8" spans="1:2" x14ac:dyDescent="0.25">
      <c r="B8" t="b">
        <f>B1=B2</f>
        <v>1</v>
      </c>
    </row>
    <row r="9" spans="1:2" x14ac:dyDescent="0.25">
      <c r="A9" t="s">
        <v>214</v>
      </c>
      <c r="B9" t="e">
        <f>AND(B1=TRUE,B2=TRUE,B7=TRUE)</f>
        <v>#N/A</v>
      </c>
    </row>
    <row r="11" spans="1:2" x14ac:dyDescent="0.25">
      <c r="A11" t="s">
        <v>209</v>
      </c>
      <c r="B11" t="e">
        <f>IF(B9=TRUE,B3,B4)</f>
        <v>#N/A</v>
      </c>
    </row>
    <row r="13" spans="1:2" x14ac:dyDescent="0.25">
      <c r="B13" t="s">
        <v>1</v>
      </c>
    </row>
    <row r="14" spans="1:2" x14ac:dyDescent="0.25">
      <c r="B14" t="s">
        <v>215</v>
      </c>
    </row>
    <row r="15" spans="1:2" x14ac:dyDescent="0.25">
      <c r="B15" t="s">
        <v>210</v>
      </c>
    </row>
    <row r="16" spans="1:2" x14ac:dyDescent="0.25">
      <c r="B16" t="s">
        <v>211</v>
      </c>
    </row>
    <row r="18" spans="2:2" x14ac:dyDescent="0.25">
      <c r="B18" t="b">
        <f>AND(berekening!E3="ja",berekening!B1&lt;&gt;"c")</f>
        <v>0</v>
      </c>
    </row>
  </sheetData>
  <phoneticPr fontId="1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0"/>
  <sheetViews>
    <sheetView showGridLines="0" workbookViewId="0">
      <selection activeCell="G19" sqref="G19"/>
    </sheetView>
  </sheetViews>
  <sheetFormatPr baseColWidth="10" defaultRowHeight="12.5" x14ac:dyDescent="0.25"/>
  <cols>
    <col min="1" max="1" width="13.6328125" bestFit="1" customWidth="1"/>
    <col min="2" max="2" width="11" bestFit="1" customWidth="1"/>
    <col min="3" max="4" width="9.08984375" customWidth="1"/>
    <col min="5" max="5" width="17.90625" bestFit="1" customWidth="1"/>
    <col min="6" max="6" width="13" customWidth="1"/>
    <col min="7" max="256" width="8.7265625" customWidth="1"/>
  </cols>
  <sheetData>
    <row r="1" spans="1:9" ht="13" thickTop="1" x14ac:dyDescent="0.25">
      <c r="A1" s="286" t="s">
        <v>195</v>
      </c>
      <c r="B1" s="287">
        <v>38899</v>
      </c>
    </row>
    <row r="2" spans="1:9" x14ac:dyDescent="0.25">
      <c r="A2" s="288" t="s">
        <v>55</v>
      </c>
      <c r="B2" s="289">
        <f>berekening!E1</f>
        <v>44440</v>
      </c>
      <c r="D2" t="b">
        <f>B2&gt;=B1</f>
        <v>1</v>
      </c>
    </row>
    <row r="3" spans="1:9" ht="13" thickBot="1" x14ac:dyDescent="0.3">
      <c r="A3" s="290" t="s">
        <v>196</v>
      </c>
      <c r="B3" s="291">
        <f>berekening!E4</f>
        <v>0</v>
      </c>
    </row>
    <row r="4" spans="1:9" ht="13.5" thickTop="1" thickBot="1" x14ac:dyDescent="0.3"/>
    <row r="5" spans="1:9" ht="13" thickTop="1" x14ac:dyDescent="0.25">
      <c r="A5" s="286" t="s">
        <v>197</v>
      </c>
      <c r="B5" s="286" t="s">
        <v>198</v>
      </c>
      <c r="C5" s="286" t="s">
        <v>199</v>
      </c>
      <c r="D5" s="286" t="s">
        <v>200</v>
      </c>
      <c r="E5" s="286" t="s">
        <v>201</v>
      </c>
      <c r="F5" s="292" t="s">
        <v>26</v>
      </c>
    </row>
    <row r="6" spans="1:9" x14ac:dyDescent="0.25">
      <c r="A6" s="288"/>
      <c r="B6" s="293">
        <v>0</v>
      </c>
      <c r="C6" s="294">
        <f>'bedragen op'!C20</f>
        <v>5174.22</v>
      </c>
      <c r="D6" s="295">
        <v>0.5</v>
      </c>
      <c r="E6" s="293">
        <f>C6*D6</f>
        <v>2587.11</v>
      </c>
      <c r="F6" s="293">
        <f>IF(B3&gt;=C6,E6,B3*D6)</f>
        <v>0</v>
      </c>
      <c r="G6" t="str">
        <f>TEXT(F6,"# ##0,00")</f>
        <v xml:space="preserve"> 0,00</v>
      </c>
    </row>
    <row r="7" spans="1:9" x14ac:dyDescent="0.25">
      <c r="A7" s="288"/>
      <c r="B7" s="293">
        <f>C6+0.01</f>
        <v>5174.2300000000005</v>
      </c>
      <c r="C7" s="293">
        <f>'bedragen op'!C21</f>
        <v>7761.32</v>
      </c>
      <c r="D7" s="295">
        <v>0.25</v>
      </c>
      <c r="E7" s="293">
        <f>(C7-B7)*D7</f>
        <v>646.77249999999981</v>
      </c>
      <c r="F7" s="293">
        <f>IF(B3&lt;=C6,0,IF(B3&gt;=C7,E7,(B3-B7)*D7))</f>
        <v>0</v>
      </c>
      <c r="G7" t="str">
        <f>TEXT(F7,"# ##0,00")</f>
        <v xml:space="preserve"> 0,00</v>
      </c>
      <c r="I7" s="1"/>
    </row>
    <row r="8" spans="1:9" ht="13" thickBot="1" x14ac:dyDescent="0.3">
      <c r="A8" s="290"/>
      <c r="B8" s="290"/>
      <c r="C8" s="290"/>
      <c r="D8" s="296" t="s">
        <v>41</v>
      </c>
      <c r="E8" s="297">
        <f>SUM(E6:E7)</f>
        <v>3233.8824999999997</v>
      </c>
      <c r="F8" s="297">
        <f>SUM(F6:F7)</f>
        <v>0</v>
      </c>
    </row>
    <row r="9" spans="1:9" ht="23.25" customHeight="1" thickTop="1" x14ac:dyDescent="0.25">
      <c r="E9" s="1"/>
    </row>
    <row r="10" spans="1:9" ht="6" customHeight="1" thickBot="1" x14ac:dyDescent="0.3">
      <c r="A10" s="301"/>
      <c r="B10" s="301"/>
    </row>
    <row r="11" spans="1:9" ht="16" thickTop="1" x14ac:dyDescent="0.35">
      <c r="A11" s="298" t="s">
        <v>202</v>
      </c>
      <c r="B11" s="299"/>
      <c r="E11" s="308"/>
      <c r="F11" s="309"/>
    </row>
    <row r="12" spans="1:9" ht="16" thickBot="1" x14ac:dyDescent="0.4">
      <c r="A12" s="300"/>
      <c r="B12" s="302">
        <f>IF(B2&gt;=B1,F8,B3*10%)</f>
        <v>0</v>
      </c>
    </row>
    <row r="13" spans="1:9" ht="3" customHeight="1" thickTop="1" x14ac:dyDescent="0.25">
      <c r="A13" s="301"/>
      <c r="B13" s="301"/>
    </row>
    <row r="15" spans="1:9" x14ac:dyDescent="0.25">
      <c r="B15" t="s">
        <v>159</v>
      </c>
    </row>
    <row r="16" spans="1:9" x14ac:dyDescent="0.25">
      <c r="B16" t="s">
        <v>26</v>
      </c>
      <c r="C16" t="s">
        <v>203</v>
      </c>
      <c r="E16" t="str">
        <f>TEXT(B6,"# ##0,00")</f>
        <v xml:space="preserve"> 0,00</v>
      </c>
      <c r="F16" t="str">
        <f>TEXT(C6,"# ##0,00")</f>
        <v>5 174,22</v>
      </c>
      <c r="G16" t="str">
        <f>C16&amp;" "&amp;E16&amp;" tot "&amp;F16&amp;" = "&amp;G6</f>
        <v>50% van   0,00 tot 5 174,22 =  0,00</v>
      </c>
    </row>
    <row r="17" spans="2:7" x14ac:dyDescent="0.25">
      <c r="B17" t="s">
        <v>26</v>
      </c>
      <c r="C17" t="s">
        <v>204</v>
      </c>
      <c r="E17" t="str">
        <f>TEXT(B7,"# ##0,00")</f>
        <v>5 174,23</v>
      </c>
      <c r="F17" t="str">
        <f>TEXT(C7,"# ##0,00")</f>
        <v>7 761,32</v>
      </c>
      <c r="G17" t="str">
        <f>C17&amp;" "&amp;E17&amp;" tot "&amp;F17&amp;" = "&amp;G7</f>
        <v>25%  van 5 174,23 tot 7 761,32 =  0,00</v>
      </c>
    </row>
    <row r="19" spans="2:7" x14ac:dyDescent="0.25">
      <c r="G19" t="str">
        <f>C16&amp;" schijf van"&amp;E16&amp;" tot "&amp;F16</f>
        <v>50% van  schijf van 0,00 tot 5 174,22</v>
      </c>
    </row>
    <row r="20" spans="2:7" x14ac:dyDescent="0.25">
      <c r="G20" t="str">
        <f>C17&amp;" schijf van "&amp;E17&amp;" tot "&amp;F17</f>
        <v>25%  van schijf van 5 174,23 tot 7 761,32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V50"/>
  <sheetViews>
    <sheetView showGridLines="0" topLeftCell="L1" workbookViewId="0">
      <pane ySplit="4" topLeftCell="A23" activePane="bottomLeft" state="frozen"/>
      <selection pane="bottomLeft" activeCell="V35" sqref="V35"/>
    </sheetView>
  </sheetViews>
  <sheetFormatPr baseColWidth="10" defaultRowHeight="12.5" x14ac:dyDescent="0.25"/>
  <cols>
    <col min="1" max="1" width="11.08984375" customWidth="1"/>
    <col min="2" max="3" width="9.36328125" bestFit="1" customWidth="1"/>
    <col min="4" max="4" width="10.36328125" bestFit="1" customWidth="1"/>
    <col min="5" max="8" width="9.36328125" bestFit="1" customWidth="1"/>
    <col min="9" max="9" width="10.36328125" bestFit="1" customWidth="1"/>
    <col min="10" max="10" width="9.36328125" bestFit="1" customWidth="1"/>
    <col min="11" max="11" width="9.54296875" bestFit="1" customWidth="1"/>
    <col min="12" max="12" width="14.36328125" bestFit="1" customWidth="1"/>
    <col min="13" max="13" width="15.08984375" bestFit="1" customWidth="1"/>
    <col min="14" max="14" width="10.36328125" bestFit="1" customWidth="1"/>
    <col min="15" max="15" width="20" bestFit="1" customWidth="1"/>
    <col min="16" max="16" width="17.54296875" bestFit="1" customWidth="1"/>
    <col min="17" max="18" width="9.36328125" bestFit="1" customWidth="1"/>
    <col min="19" max="19" width="10.36328125" bestFit="1" customWidth="1"/>
    <col min="20" max="21" width="9.36328125" bestFit="1" customWidth="1"/>
    <col min="22" max="256" width="8.7265625" customWidth="1"/>
  </cols>
  <sheetData>
    <row r="1" spans="1:22" x14ac:dyDescent="0.25">
      <c r="A1" s="200">
        <v>1</v>
      </c>
      <c r="B1" s="200">
        <v>2</v>
      </c>
      <c r="C1" s="200">
        <v>3</v>
      </c>
      <c r="D1" s="200">
        <v>4</v>
      </c>
      <c r="E1" s="200">
        <v>5</v>
      </c>
      <c r="F1" s="200">
        <v>6</v>
      </c>
      <c r="G1" s="200">
        <v>7</v>
      </c>
      <c r="H1" s="200">
        <v>8</v>
      </c>
      <c r="I1" s="200">
        <v>9</v>
      </c>
      <c r="J1" s="200">
        <v>10</v>
      </c>
      <c r="K1" s="200">
        <v>11</v>
      </c>
      <c r="L1" s="200">
        <v>12</v>
      </c>
      <c r="M1" s="200">
        <v>13</v>
      </c>
      <c r="N1" s="200">
        <v>14</v>
      </c>
      <c r="O1" s="200">
        <v>15</v>
      </c>
      <c r="P1" s="200">
        <v>16</v>
      </c>
      <c r="Q1" s="200">
        <v>17</v>
      </c>
      <c r="R1" s="200">
        <v>18</v>
      </c>
      <c r="S1" s="200">
        <v>19</v>
      </c>
      <c r="T1" s="277">
        <v>20</v>
      </c>
      <c r="U1" s="277">
        <v>21</v>
      </c>
      <c r="V1" s="277">
        <v>22</v>
      </c>
    </row>
    <row r="2" spans="1:22" s="19" customFormat="1" x14ac:dyDescent="0.25">
      <c r="A2" s="262"/>
      <c r="B2" s="396" t="s">
        <v>81</v>
      </c>
      <c r="C2" s="397"/>
      <c r="D2" s="398"/>
      <c r="E2" s="399" t="s">
        <v>82</v>
      </c>
      <c r="F2" s="400"/>
      <c r="G2" s="400"/>
      <c r="H2" s="400"/>
      <c r="I2" s="401"/>
      <c r="J2" s="399" t="s">
        <v>45</v>
      </c>
      <c r="K2" s="401"/>
      <c r="L2" s="399" t="s">
        <v>84</v>
      </c>
      <c r="M2" s="400"/>
      <c r="N2" s="400"/>
      <c r="O2" s="400"/>
      <c r="P2" s="400"/>
      <c r="Q2" s="400"/>
      <c r="R2" s="400"/>
      <c r="S2" s="401"/>
      <c r="T2" s="278" t="s">
        <v>193</v>
      </c>
      <c r="U2" s="279"/>
      <c r="V2" s="23"/>
    </row>
    <row r="3" spans="1:22" x14ac:dyDescent="0.25">
      <c r="A3" s="262"/>
      <c r="B3" s="396" t="s">
        <v>85</v>
      </c>
      <c r="C3" s="397"/>
      <c r="D3" s="398"/>
      <c r="E3" s="269"/>
      <c r="F3" s="201"/>
      <c r="G3" s="201"/>
      <c r="H3" s="201"/>
      <c r="I3" s="266"/>
      <c r="J3" s="269"/>
      <c r="K3" s="266"/>
      <c r="L3" s="399" t="s">
        <v>80</v>
      </c>
      <c r="M3" s="401"/>
      <c r="N3" s="270" t="s">
        <v>86</v>
      </c>
      <c r="O3" s="399" t="s">
        <v>13</v>
      </c>
      <c r="P3" s="401"/>
      <c r="Q3" s="399" t="s">
        <v>42</v>
      </c>
      <c r="R3" s="400"/>
      <c r="S3" s="401"/>
      <c r="T3" s="280" t="s">
        <v>194</v>
      </c>
      <c r="U3" s="281"/>
      <c r="V3" s="14"/>
    </row>
    <row r="4" spans="1:22" s="14" customFormat="1" x14ac:dyDescent="0.25">
      <c r="A4" s="263" t="s">
        <v>83</v>
      </c>
      <c r="B4" s="265" t="s">
        <v>2</v>
      </c>
      <c r="C4" s="202" t="s">
        <v>3</v>
      </c>
      <c r="D4" s="266" t="s">
        <v>4</v>
      </c>
      <c r="E4" s="269">
        <v>1</v>
      </c>
      <c r="F4" s="201">
        <v>2</v>
      </c>
      <c r="G4" s="201">
        <v>3</v>
      </c>
      <c r="H4" s="201">
        <v>4</v>
      </c>
      <c r="I4" s="266">
        <v>5</v>
      </c>
      <c r="J4" s="269" t="s">
        <v>80</v>
      </c>
      <c r="K4" s="266" t="s">
        <v>8</v>
      </c>
      <c r="L4" s="269" t="s">
        <v>47</v>
      </c>
      <c r="M4" s="266" t="s">
        <v>48</v>
      </c>
      <c r="N4" s="271" t="s">
        <v>49</v>
      </c>
      <c r="O4" s="273" t="s">
        <v>50</v>
      </c>
      <c r="P4" s="274" t="s">
        <v>52</v>
      </c>
      <c r="Q4" s="273" t="s">
        <v>2</v>
      </c>
      <c r="R4" s="200" t="s">
        <v>3</v>
      </c>
      <c r="S4" s="274" t="s">
        <v>4</v>
      </c>
      <c r="T4" s="282">
        <v>0.5</v>
      </c>
      <c r="U4" s="283">
        <v>0.25</v>
      </c>
    </row>
    <row r="5" spans="1:22" x14ac:dyDescent="0.25">
      <c r="A5" s="264">
        <v>38169</v>
      </c>
      <c r="B5" s="346">
        <v>4764.96</v>
      </c>
      <c r="C5" s="347">
        <v>7147.44</v>
      </c>
      <c r="D5" s="348">
        <v>9529.93</v>
      </c>
      <c r="E5" s="349">
        <v>942.34</v>
      </c>
      <c r="F5" s="350">
        <v>3211.12</v>
      </c>
      <c r="G5" s="350">
        <v>5130.9799999999996</v>
      </c>
      <c r="H5" s="350">
        <v>7475.18</v>
      </c>
      <c r="I5" s="348">
        <v>8480.1299999999992</v>
      </c>
      <c r="J5" s="349">
        <f>B5/2</f>
        <v>2382.48</v>
      </c>
      <c r="K5" s="348">
        <v>541.20000000000005</v>
      </c>
      <c r="L5" s="349">
        <v>1623.6</v>
      </c>
      <c r="M5" s="348">
        <v>17701.71</v>
      </c>
      <c r="N5" s="351">
        <v>17701.71</v>
      </c>
      <c r="O5" s="344">
        <v>15172.9</v>
      </c>
      <c r="P5" s="345">
        <v>2528.4499999999998</v>
      </c>
      <c r="Q5" s="344">
        <v>4764.96</v>
      </c>
      <c r="R5" s="352">
        <v>7147.44</v>
      </c>
      <c r="S5" s="345">
        <v>9529.93</v>
      </c>
      <c r="T5" s="344"/>
      <c r="U5" s="345"/>
      <c r="V5" s="316"/>
    </row>
    <row r="6" spans="1:22" x14ac:dyDescent="0.25">
      <c r="A6" s="264">
        <v>38261</v>
      </c>
      <c r="B6" s="343">
        <v>4909.09</v>
      </c>
      <c r="C6" s="347">
        <v>7363.64</v>
      </c>
      <c r="D6" s="348">
        <v>9818.19</v>
      </c>
      <c r="E6" s="349">
        <v>961.23</v>
      </c>
      <c r="F6" s="350">
        <v>3275.5</v>
      </c>
      <c r="G6" s="350">
        <v>5233.84</v>
      </c>
      <c r="H6" s="350">
        <v>7625.05</v>
      </c>
      <c r="I6" s="348">
        <v>8650.14</v>
      </c>
      <c r="J6" s="349">
        <v>2454.5500000000002</v>
      </c>
      <c r="K6" s="348">
        <v>552.04999999999995</v>
      </c>
      <c r="L6" s="349">
        <v>1656.15</v>
      </c>
      <c r="M6" s="348">
        <v>18056.59</v>
      </c>
      <c r="N6" s="353">
        <v>18056.59</v>
      </c>
      <c r="O6" s="349">
        <v>15477.09</v>
      </c>
      <c r="P6" s="348">
        <v>2579.14</v>
      </c>
      <c r="Q6" s="349">
        <v>4860.49</v>
      </c>
      <c r="R6" s="350">
        <v>7290.74</v>
      </c>
      <c r="S6" s="348">
        <v>9720.98</v>
      </c>
      <c r="T6" s="344"/>
      <c r="U6" s="345"/>
      <c r="V6" s="316"/>
    </row>
    <row r="7" spans="1:22" x14ac:dyDescent="0.25">
      <c r="A7" s="264">
        <v>38565</v>
      </c>
      <c r="B7" s="343">
        <v>5007.3599999999997</v>
      </c>
      <c r="C7" s="347">
        <v>7511.03</v>
      </c>
      <c r="D7" s="348">
        <v>10014.709999999999</v>
      </c>
      <c r="E7" s="349">
        <v>980.47</v>
      </c>
      <c r="F7" s="350">
        <v>3341.06</v>
      </c>
      <c r="G7" s="350">
        <v>5338.6</v>
      </c>
      <c r="H7" s="350">
        <v>7777.67</v>
      </c>
      <c r="I7" s="348">
        <v>8823.2800000000007</v>
      </c>
      <c r="J7" s="349">
        <v>2503.6799999999998</v>
      </c>
      <c r="K7" s="348">
        <v>563.1</v>
      </c>
      <c r="L7" s="349">
        <v>1689.3</v>
      </c>
      <c r="M7" s="348">
        <v>18418.02</v>
      </c>
      <c r="N7" s="351">
        <v>18418.02</v>
      </c>
      <c r="O7" s="344">
        <v>15786.88</v>
      </c>
      <c r="P7" s="345">
        <v>2630.77</v>
      </c>
      <c r="Q7" s="344">
        <v>4957.78</v>
      </c>
      <c r="R7" s="352">
        <v>7436.67</v>
      </c>
      <c r="S7" s="345">
        <v>9915.56</v>
      </c>
      <c r="T7" s="344"/>
      <c r="U7" s="345"/>
      <c r="V7" s="316"/>
    </row>
    <row r="8" spans="1:22" x14ac:dyDescent="0.25">
      <c r="A8" s="264">
        <v>38899</v>
      </c>
      <c r="B8" s="343">
        <f t="shared" ref="B8:S8" si="0">B7</f>
        <v>5007.3599999999997</v>
      </c>
      <c r="C8" s="343">
        <f t="shared" si="0"/>
        <v>7511.03</v>
      </c>
      <c r="D8" s="343">
        <f t="shared" si="0"/>
        <v>10014.709999999999</v>
      </c>
      <c r="E8" s="343">
        <f t="shared" si="0"/>
        <v>980.47</v>
      </c>
      <c r="F8" s="343">
        <f t="shared" si="0"/>
        <v>3341.06</v>
      </c>
      <c r="G8" s="343">
        <f t="shared" si="0"/>
        <v>5338.6</v>
      </c>
      <c r="H8" s="343">
        <f t="shared" si="0"/>
        <v>7777.67</v>
      </c>
      <c r="I8" s="343">
        <f t="shared" si="0"/>
        <v>8823.2800000000007</v>
      </c>
      <c r="J8" s="343">
        <f t="shared" si="0"/>
        <v>2503.6799999999998</v>
      </c>
      <c r="K8" s="343">
        <f t="shared" si="0"/>
        <v>563.1</v>
      </c>
      <c r="L8" s="343">
        <f t="shared" si="0"/>
        <v>1689.3</v>
      </c>
      <c r="M8" s="343">
        <f t="shared" si="0"/>
        <v>18418.02</v>
      </c>
      <c r="N8" s="343">
        <f t="shared" si="0"/>
        <v>18418.02</v>
      </c>
      <c r="O8" s="343">
        <f t="shared" si="0"/>
        <v>15786.88</v>
      </c>
      <c r="P8" s="343">
        <f t="shared" si="0"/>
        <v>2630.77</v>
      </c>
      <c r="Q8" s="343">
        <f t="shared" si="0"/>
        <v>4957.78</v>
      </c>
      <c r="R8" s="343">
        <f t="shared" si="0"/>
        <v>7436.67</v>
      </c>
      <c r="S8" s="343">
        <f t="shared" si="0"/>
        <v>9915.56</v>
      </c>
      <c r="T8" s="344">
        <v>4000</v>
      </c>
      <c r="U8" s="345">
        <v>6000</v>
      </c>
      <c r="V8" s="316"/>
    </row>
    <row r="9" spans="1:22" x14ac:dyDescent="0.25">
      <c r="A9" s="264">
        <v>38991</v>
      </c>
      <c r="B9" s="343">
        <v>5158.47</v>
      </c>
      <c r="C9" s="343">
        <v>7737.71</v>
      </c>
      <c r="D9" s="343">
        <v>10316.94</v>
      </c>
      <c r="E9" s="343">
        <v>1000.06</v>
      </c>
      <c r="F9" s="343">
        <v>3407.81</v>
      </c>
      <c r="G9" s="343">
        <v>5445.26</v>
      </c>
      <c r="H9" s="343">
        <v>7933.06</v>
      </c>
      <c r="I9" s="343">
        <v>8999.56</v>
      </c>
      <c r="J9" s="343">
        <v>2579.2399999999998</v>
      </c>
      <c r="K9" s="343">
        <v>574.35</v>
      </c>
      <c r="L9" s="343">
        <v>1723.05</v>
      </c>
      <c r="M9" s="343">
        <v>18785.990000000002</v>
      </c>
      <c r="N9" s="343">
        <v>18785.990000000002</v>
      </c>
      <c r="O9" s="343">
        <v>16102.28</v>
      </c>
      <c r="P9" s="343">
        <v>2683.33</v>
      </c>
      <c r="Q9" s="343">
        <v>5056.83</v>
      </c>
      <c r="R9" s="343">
        <v>7585.25</v>
      </c>
      <c r="S9" s="343">
        <v>10113.66</v>
      </c>
      <c r="T9" s="344">
        <v>4079.92</v>
      </c>
      <c r="U9" s="345">
        <v>6119.87</v>
      </c>
      <c r="V9" s="316"/>
    </row>
    <row r="10" spans="1:22" x14ac:dyDescent="0.25">
      <c r="A10" s="264">
        <v>39173</v>
      </c>
      <c r="B10" s="343">
        <v>5261.63</v>
      </c>
      <c r="C10" s="343">
        <v>7892.45</v>
      </c>
      <c r="D10" s="343">
        <v>10523.26</v>
      </c>
      <c r="E10" s="343">
        <v>1000.06</v>
      </c>
      <c r="F10" s="343">
        <v>3407.81</v>
      </c>
      <c r="G10" s="343">
        <v>5445.26</v>
      </c>
      <c r="H10" s="343">
        <v>7933.06</v>
      </c>
      <c r="I10" s="343">
        <v>8999.56</v>
      </c>
      <c r="J10" s="349">
        <f>B10/2</f>
        <v>2630.8150000000001</v>
      </c>
      <c r="K10" s="343">
        <v>574.35</v>
      </c>
      <c r="L10" s="343">
        <v>1723.05</v>
      </c>
      <c r="M10" s="343">
        <v>18785.990000000002</v>
      </c>
      <c r="N10" s="343">
        <v>18785.990000000002</v>
      </c>
      <c r="O10" s="343">
        <v>16102.28</v>
      </c>
      <c r="P10" s="343">
        <v>2683.33</v>
      </c>
      <c r="Q10" s="343">
        <v>5056.83</v>
      </c>
      <c r="R10" s="343">
        <v>7585.25</v>
      </c>
      <c r="S10" s="343">
        <v>10113.66</v>
      </c>
      <c r="T10" s="344">
        <v>4079.92</v>
      </c>
      <c r="U10" s="345">
        <v>6119.87</v>
      </c>
      <c r="V10" s="316"/>
    </row>
    <row r="11" spans="1:22" x14ac:dyDescent="0.25">
      <c r="A11" s="264">
        <v>39448</v>
      </c>
      <c r="B11" s="343">
        <v>5474.32</v>
      </c>
      <c r="C11" s="343">
        <v>8211.48</v>
      </c>
      <c r="D11" s="343">
        <v>10948.64</v>
      </c>
      <c r="E11" s="343">
        <v>1020.08</v>
      </c>
      <c r="F11" s="343">
        <v>3476.05</v>
      </c>
      <c r="G11" s="343">
        <v>5554.29</v>
      </c>
      <c r="H11" s="343">
        <v>8091.9</v>
      </c>
      <c r="I11" s="343">
        <v>9179.75</v>
      </c>
      <c r="J11" s="349">
        <v>2737.16</v>
      </c>
      <c r="K11" s="343">
        <v>585.85</v>
      </c>
      <c r="L11" s="343">
        <v>1757.55</v>
      </c>
      <c r="M11" s="343">
        <v>19162.13</v>
      </c>
      <c r="N11" s="343">
        <v>19162.13</v>
      </c>
      <c r="O11" s="343">
        <v>16424.689999999999</v>
      </c>
      <c r="P11" s="343">
        <v>2737.06</v>
      </c>
      <c r="Q11" s="343">
        <v>5158.08</v>
      </c>
      <c r="R11" s="343">
        <v>7737.12</v>
      </c>
      <c r="S11" s="343">
        <v>10316.16</v>
      </c>
      <c r="T11" s="344">
        <v>4161.6099999999997</v>
      </c>
      <c r="U11" s="345">
        <v>6242.41</v>
      </c>
      <c r="V11" s="318"/>
    </row>
    <row r="12" spans="1:22" x14ac:dyDescent="0.25">
      <c r="A12" s="323">
        <v>39569</v>
      </c>
      <c r="B12" s="343">
        <v>5583.65</v>
      </c>
      <c r="C12" s="347">
        <v>8375.48</v>
      </c>
      <c r="D12" s="348">
        <v>11167.3</v>
      </c>
      <c r="E12" s="349">
        <v>1040.45</v>
      </c>
      <c r="F12" s="350">
        <v>3545.47</v>
      </c>
      <c r="G12" s="350">
        <v>5665.22</v>
      </c>
      <c r="H12" s="350">
        <v>8253.5</v>
      </c>
      <c r="I12" s="348">
        <v>9363.08</v>
      </c>
      <c r="J12" s="349">
        <v>2791.83</v>
      </c>
      <c r="K12" s="348">
        <v>597.54999999999995</v>
      </c>
      <c r="L12" s="349">
        <v>1792.65</v>
      </c>
      <c r="M12" s="348">
        <v>19544.82</v>
      </c>
      <c r="N12" s="351">
        <v>19544.82</v>
      </c>
      <c r="O12" s="344">
        <v>16752.71</v>
      </c>
      <c r="P12" s="345">
        <v>2791.72</v>
      </c>
      <c r="Q12" s="344">
        <v>5261.09</v>
      </c>
      <c r="R12" s="352">
        <v>7891.64</v>
      </c>
      <c r="S12" s="345">
        <v>10522.19</v>
      </c>
      <c r="T12" s="344">
        <v>4244.72</v>
      </c>
      <c r="U12" s="344">
        <v>6367.07</v>
      </c>
    </row>
    <row r="13" spans="1:22" x14ac:dyDescent="0.25">
      <c r="A13" s="323">
        <v>39630</v>
      </c>
      <c r="B13" s="343">
        <f t="shared" ref="B13:K13" si="1">B12</f>
        <v>5583.65</v>
      </c>
      <c r="C13" s="343">
        <f t="shared" si="1"/>
        <v>8375.48</v>
      </c>
      <c r="D13" s="343">
        <f t="shared" si="1"/>
        <v>11167.3</v>
      </c>
      <c r="E13" s="349">
        <f t="shared" si="1"/>
        <v>1040.45</v>
      </c>
      <c r="F13" s="349">
        <f t="shared" si="1"/>
        <v>3545.47</v>
      </c>
      <c r="G13" s="349">
        <f t="shared" si="1"/>
        <v>5665.22</v>
      </c>
      <c r="H13" s="349">
        <f t="shared" si="1"/>
        <v>8253.5</v>
      </c>
      <c r="I13" s="349">
        <f t="shared" si="1"/>
        <v>9363.08</v>
      </c>
      <c r="J13" s="349">
        <f t="shared" si="1"/>
        <v>2791.83</v>
      </c>
      <c r="K13" s="349">
        <f t="shared" si="1"/>
        <v>597.54999999999995</v>
      </c>
      <c r="L13" s="349">
        <f>M13</f>
        <v>19544.82</v>
      </c>
      <c r="M13" s="348">
        <f t="shared" ref="M13:U13" si="2">M12</f>
        <v>19544.82</v>
      </c>
      <c r="N13" s="351">
        <f t="shared" si="2"/>
        <v>19544.82</v>
      </c>
      <c r="O13" s="344">
        <f t="shared" si="2"/>
        <v>16752.71</v>
      </c>
      <c r="P13" s="344">
        <f t="shared" si="2"/>
        <v>2791.72</v>
      </c>
      <c r="Q13" s="344">
        <f t="shared" si="2"/>
        <v>5261.09</v>
      </c>
      <c r="R13" s="344">
        <f t="shared" si="2"/>
        <v>7891.64</v>
      </c>
      <c r="S13" s="344">
        <f t="shared" si="2"/>
        <v>10522.19</v>
      </c>
      <c r="T13" s="344">
        <f t="shared" si="2"/>
        <v>4244.72</v>
      </c>
      <c r="U13" s="344">
        <f t="shared" si="2"/>
        <v>6367.07</v>
      </c>
    </row>
    <row r="14" spans="1:22" x14ac:dyDescent="0.25">
      <c r="A14" s="323">
        <v>39692</v>
      </c>
      <c r="B14" s="343">
        <v>5695.31</v>
      </c>
      <c r="C14" s="347">
        <v>8542.9699999999993</v>
      </c>
      <c r="D14" s="348">
        <v>11390.62</v>
      </c>
      <c r="E14" s="349">
        <v>1061.26</v>
      </c>
      <c r="F14" s="350">
        <v>3616.37</v>
      </c>
      <c r="G14" s="350">
        <v>5778.51</v>
      </c>
      <c r="H14" s="350">
        <v>8418.56</v>
      </c>
      <c r="I14" s="348">
        <v>9550.33</v>
      </c>
      <c r="J14" s="349">
        <v>2847.66</v>
      </c>
      <c r="K14" s="348">
        <v>609.5</v>
      </c>
      <c r="L14" s="349">
        <v>19935.68</v>
      </c>
      <c r="M14" s="348">
        <v>19935.68</v>
      </c>
      <c r="N14" s="351">
        <v>19935.68</v>
      </c>
      <c r="O14" s="344">
        <v>17087.73</v>
      </c>
      <c r="P14" s="345">
        <v>2847.55</v>
      </c>
      <c r="Q14" s="344">
        <v>5366.31</v>
      </c>
      <c r="R14" s="352">
        <v>8049.46</v>
      </c>
      <c r="S14" s="345">
        <v>10732.61</v>
      </c>
      <c r="T14" s="344">
        <v>4329.6099999999997</v>
      </c>
      <c r="U14" s="344">
        <v>6494.41</v>
      </c>
    </row>
    <row r="15" spans="1:22" x14ac:dyDescent="0.25">
      <c r="A15" s="264">
        <v>39965</v>
      </c>
      <c r="B15" s="343">
        <v>5809.22</v>
      </c>
      <c r="C15" s="347">
        <v>8713.83</v>
      </c>
      <c r="D15" s="348">
        <v>11618.44</v>
      </c>
      <c r="E15" s="349">
        <v>1061.26</v>
      </c>
      <c r="F15" s="350">
        <v>3616.37</v>
      </c>
      <c r="G15" s="350">
        <v>5778.51</v>
      </c>
      <c r="H15" s="350">
        <v>8418.56</v>
      </c>
      <c r="I15" s="348">
        <v>9550.33</v>
      </c>
      <c r="J15" s="349">
        <f>B15/2</f>
        <v>2904.61</v>
      </c>
      <c r="K15" s="348">
        <v>609.5</v>
      </c>
      <c r="L15" s="349">
        <v>19935.68</v>
      </c>
      <c r="M15" s="348">
        <v>19935.68</v>
      </c>
      <c r="N15" s="351">
        <v>19935.68</v>
      </c>
      <c r="O15" s="344">
        <v>17087.73</v>
      </c>
      <c r="P15" s="345">
        <v>2847.55</v>
      </c>
      <c r="Q15" s="344">
        <v>5366.31</v>
      </c>
      <c r="R15" s="352">
        <v>8049.46</v>
      </c>
      <c r="S15" s="345">
        <v>10732.61</v>
      </c>
      <c r="T15" s="344">
        <v>4329.6099999999997</v>
      </c>
      <c r="U15" s="344">
        <v>6494.41</v>
      </c>
    </row>
    <row r="16" spans="1:22" x14ac:dyDescent="0.25">
      <c r="A16" s="264">
        <v>40422</v>
      </c>
      <c r="B16" s="343">
        <v>5925.5</v>
      </c>
      <c r="C16" s="347">
        <v>8888.25</v>
      </c>
      <c r="D16" s="348">
        <v>11851</v>
      </c>
      <c r="E16" s="349">
        <v>1082.5</v>
      </c>
      <c r="F16" s="350">
        <v>3688.76</v>
      </c>
      <c r="G16" s="350">
        <v>5894.18</v>
      </c>
      <c r="H16" s="350">
        <v>8587.07</v>
      </c>
      <c r="I16" s="348">
        <v>9741.49</v>
      </c>
      <c r="J16" s="349">
        <v>2962.75</v>
      </c>
      <c r="K16" s="348">
        <v>621.70000000000005</v>
      </c>
      <c r="L16" s="349">
        <v>20334.73</v>
      </c>
      <c r="M16" s="348">
        <f>L16</f>
        <v>20334.73</v>
      </c>
      <c r="N16" s="351">
        <f>L16</f>
        <v>20334.73</v>
      </c>
      <c r="O16" s="344">
        <v>17429.77</v>
      </c>
      <c r="P16" s="345">
        <v>2904.55</v>
      </c>
      <c r="Q16" s="344">
        <v>5473.72</v>
      </c>
      <c r="R16" s="352">
        <v>8210.58</v>
      </c>
      <c r="S16" s="345">
        <v>10947.44</v>
      </c>
      <c r="T16" s="344">
        <v>4416.2700000000004</v>
      </c>
      <c r="U16" s="344">
        <v>6624.4</v>
      </c>
    </row>
    <row r="17" spans="1:21" x14ac:dyDescent="0.25">
      <c r="A17" s="264">
        <v>40664</v>
      </c>
      <c r="B17" s="354">
        <v>6043.68</v>
      </c>
      <c r="C17" s="355">
        <v>9065.52</v>
      </c>
      <c r="D17" s="356">
        <v>12087.36</v>
      </c>
      <c r="E17" s="357">
        <v>1104.0899999999999</v>
      </c>
      <c r="F17" s="358">
        <v>3762.33</v>
      </c>
      <c r="G17" s="358">
        <v>6011.74</v>
      </c>
      <c r="H17" s="358">
        <v>8758.34</v>
      </c>
      <c r="I17" s="356">
        <v>9935.7900000000009</v>
      </c>
      <c r="J17" s="357">
        <v>3021.84</v>
      </c>
      <c r="K17" s="356">
        <v>634.1</v>
      </c>
      <c r="L17" s="357">
        <v>20740.310000000001</v>
      </c>
      <c r="M17" s="356">
        <v>20740.310000000001</v>
      </c>
      <c r="N17" s="359">
        <v>20740.310000000001</v>
      </c>
      <c r="O17" s="360">
        <v>17777.41</v>
      </c>
      <c r="P17" s="361">
        <v>2962.48</v>
      </c>
      <c r="Q17" s="360">
        <v>5582.9</v>
      </c>
      <c r="R17" s="362">
        <v>8374.35</v>
      </c>
      <c r="S17" s="361">
        <v>11165.8</v>
      </c>
      <c r="T17" s="360">
        <v>4504.3500000000004</v>
      </c>
      <c r="U17" s="361">
        <v>6756.53</v>
      </c>
    </row>
    <row r="18" spans="1:21" x14ac:dyDescent="0.25">
      <c r="A18" s="337">
        <v>40787</v>
      </c>
      <c r="B18" s="363">
        <v>6164.56</v>
      </c>
      <c r="C18" s="363">
        <v>9246.83</v>
      </c>
      <c r="D18" s="363">
        <v>12329.11</v>
      </c>
      <c r="E18" s="363">
        <v>1104.0899999999999</v>
      </c>
      <c r="F18" s="363">
        <v>3762.33</v>
      </c>
      <c r="G18" s="363">
        <v>6011.74</v>
      </c>
      <c r="H18" s="363">
        <v>8758.34</v>
      </c>
      <c r="I18" s="363">
        <v>9935.7900000000009</v>
      </c>
      <c r="J18" s="363">
        <f>B18/2</f>
        <v>3082.28</v>
      </c>
      <c r="K18" s="363">
        <v>634.1</v>
      </c>
      <c r="L18" s="363">
        <v>20740.310000000001</v>
      </c>
      <c r="M18" s="363">
        <v>20740.310000000001</v>
      </c>
      <c r="N18" s="363">
        <v>20740.310000000001</v>
      </c>
      <c r="O18" s="363">
        <v>17777.41</v>
      </c>
      <c r="P18" s="363">
        <v>2962.48</v>
      </c>
      <c r="Q18" s="363">
        <v>5688.97</v>
      </c>
      <c r="R18" s="363">
        <v>8533.4500000000007</v>
      </c>
      <c r="S18" s="363">
        <v>11377.94</v>
      </c>
      <c r="T18" s="363">
        <v>4504.3500000000004</v>
      </c>
      <c r="U18" s="363">
        <v>6756.53</v>
      </c>
    </row>
    <row r="19" spans="1:21" x14ac:dyDescent="0.25">
      <c r="A19" s="338">
        <v>40940</v>
      </c>
      <c r="B19" s="363">
        <v>6288.02</v>
      </c>
      <c r="C19" s="363">
        <v>9432.0300000000007</v>
      </c>
      <c r="D19" s="363">
        <v>12576.04</v>
      </c>
      <c r="E19" s="363">
        <v>1126.21</v>
      </c>
      <c r="F19" s="363">
        <v>3837.68</v>
      </c>
      <c r="G19" s="363">
        <v>6132.14</v>
      </c>
      <c r="H19" s="363">
        <v>8933.76</v>
      </c>
      <c r="I19" s="363">
        <v>10134.790000000001</v>
      </c>
      <c r="J19" s="363">
        <v>3144.01</v>
      </c>
      <c r="K19" s="363">
        <v>646.79999999999995</v>
      </c>
      <c r="L19" s="363">
        <v>21155.7</v>
      </c>
      <c r="M19" s="363">
        <v>21155.7</v>
      </c>
      <c r="N19" s="363">
        <v>21155.7</v>
      </c>
      <c r="O19" s="363">
        <v>18133.46</v>
      </c>
      <c r="P19" s="363">
        <v>3021.81</v>
      </c>
      <c r="Q19" s="363">
        <v>5802.91</v>
      </c>
      <c r="R19" s="363">
        <v>8704.3700000000008</v>
      </c>
      <c r="S19" s="363">
        <v>11605.82</v>
      </c>
      <c r="T19" s="363">
        <v>4594.57</v>
      </c>
      <c r="U19" s="363">
        <v>6891.85</v>
      </c>
    </row>
    <row r="20" spans="1:21" x14ac:dyDescent="0.25">
      <c r="A20" s="338">
        <v>41244</v>
      </c>
      <c r="B20" s="364">
        <v>6413.92</v>
      </c>
      <c r="C20" s="364">
        <v>9620.8799999999992</v>
      </c>
      <c r="D20" s="364">
        <v>12827.84</v>
      </c>
      <c r="E20" s="364">
        <v>1148.76</v>
      </c>
      <c r="F20" s="364">
        <v>3914.52</v>
      </c>
      <c r="G20" s="364">
        <v>6254.92</v>
      </c>
      <c r="H20" s="364">
        <v>9112.6299999999992</v>
      </c>
      <c r="I20" s="364">
        <v>10337.700000000001</v>
      </c>
      <c r="J20" s="364">
        <v>3206.96</v>
      </c>
      <c r="K20" s="364">
        <v>659.75</v>
      </c>
      <c r="L20" s="364">
        <v>21579.27</v>
      </c>
      <c r="M20" s="364">
        <v>21579.27</v>
      </c>
      <c r="N20" s="364">
        <v>21579.27</v>
      </c>
      <c r="O20" s="364">
        <v>18496.53</v>
      </c>
      <c r="P20" s="364">
        <v>3082.31</v>
      </c>
      <c r="Q20" s="364">
        <v>5919.09</v>
      </c>
      <c r="R20" s="364">
        <v>8878.64</v>
      </c>
      <c r="S20" s="364">
        <v>11838.18</v>
      </c>
      <c r="T20" s="364">
        <v>4686.5600000000004</v>
      </c>
      <c r="U20" s="364">
        <v>7029.83</v>
      </c>
    </row>
    <row r="21" spans="1:21" x14ac:dyDescent="0.25">
      <c r="A21" s="338">
        <v>41518</v>
      </c>
      <c r="B21" s="365">
        <v>6542.2</v>
      </c>
      <c r="C21" s="352">
        <v>9813.2999999999993</v>
      </c>
      <c r="D21" s="345">
        <v>13084.4</v>
      </c>
      <c r="E21" s="344">
        <v>1148.76</v>
      </c>
      <c r="F21" s="344">
        <v>3914.52</v>
      </c>
      <c r="G21" s="344">
        <v>6254.92</v>
      </c>
      <c r="H21" s="344">
        <v>9112.6299999999992</v>
      </c>
      <c r="I21" s="344">
        <v>10337.700000000001</v>
      </c>
      <c r="J21" s="344">
        <v>3271.1</v>
      </c>
      <c r="K21" s="345">
        <v>659.75</v>
      </c>
      <c r="L21" s="344">
        <v>21579.27</v>
      </c>
      <c r="M21" s="344">
        <v>21579.27</v>
      </c>
      <c r="N21" s="351">
        <v>21579.27</v>
      </c>
      <c r="O21" s="344">
        <v>18496.53</v>
      </c>
      <c r="P21" s="345">
        <v>3082.31</v>
      </c>
      <c r="Q21" s="344">
        <v>6037.48</v>
      </c>
      <c r="R21" s="352">
        <v>9056.2199999999993</v>
      </c>
      <c r="S21" s="345">
        <v>12074.96</v>
      </c>
      <c r="T21" s="344">
        <v>4686.5600000000004</v>
      </c>
      <c r="U21" s="345">
        <v>7029.83</v>
      </c>
    </row>
    <row r="22" spans="1:21" x14ac:dyDescent="0.25">
      <c r="A22" s="339">
        <v>41730</v>
      </c>
      <c r="B22" s="344">
        <f>B21</f>
        <v>6542.2</v>
      </c>
      <c r="C22" s="344">
        <f t="shared" ref="C22:U22" si="3">C21</f>
        <v>9813.2999999999993</v>
      </c>
      <c r="D22" s="344">
        <f t="shared" si="3"/>
        <v>13084.4</v>
      </c>
      <c r="E22" s="344">
        <f t="shared" si="3"/>
        <v>1148.76</v>
      </c>
      <c r="F22" s="344">
        <f t="shared" si="3"/>
        <v>3914.52</v>
      </c>
      <c r="G22" s="344">
        <f t="shared" si="3"/>
        <v>6254.92</v>
      </c>
      <c r="H22" s="344">
        <f t="shared" si="3"/>
        <v>9112.6299999999992</v>
      </c>
      <c r="I22" s="344">
        <f t="shared" si="3"/>
        <v>10337.700000000001</v>
      </c>
      <c r="J22" s="344">
        <f t="shared" si="3"/>
        <v>3271.1</v>
      </c>
      <c r="K22" s="344">
        <f t="shared" si="3"/>
        <v>659.75</v>
      </c>
      <c r="L22" s="344">
        <f t="shared" si="3"/>
        <v>21579.27</v>
      </c>
      <c r="M22" s="344">
        <f t="shared" si="3"/>
        <v>21579.27</v>
      </c>
      <c r="N22" s="344">
        <f t="shared" si="3"/>
        <v>21579.27</v>
      </c>
      <c r="O22" s="344">
        <f t="shared" si="3"/>
        <v>18496.53</v>
      </c>
      <c r="P22" s="344">
        <f t="shared" si="3"/>
        <v>3082.31</v>
      </c>
      <c r="Q22" s="344">
        <f>B22</f>
        <v>6542.2</v>
      </c>
      <c r="R22" s="344">
        <f>C22</f>
        <v>9813.2999999999993</v>
      </c>
      <c r="S22" s="344">
        <f>D22</f>
        <v>13084.4</v>
      </c>
      <c r="T22" s="344">
        <f t="shared" si="3"/>
        <v>4686.5600000000004</v>
      </c>
      <c r="U22" s="344">
        <f t="shared" si="3"/>
        <v>7029.83</v>
      </c>
    </row>
    <row r="23" spans="1:21" x14ac:dyDescent="0.25">
      <c r="A23" s="339">
        <v>42248</v>
      </c>
      <c r="B23" s="344">
        <v>6673.04</v>
      </c>
      <c r="C23" s="352">
        <v>10009.56</v>
      </c>
      <c r="D23" s="345">
        <v>13346.08</v>
      </c>
      <c r="E23" s="344">
        <v>1148.76</v>
      </c>
      <c r="F23" s="352">
        <v>3914.52</v>
      </c>
      <c r="G23" s="352">
        <v>6254.92</v>
      </c>
      <c r="H23" s="352">
        <v>9112.6299999999992</v>
      </c>
      <c r="I23" s="345">
        <v>10337.700000000001</v>
      </c>
      <c r="J23" s="344">
        <v>3336.52</v>
      </c>
      <c r="K23" s="345">
        <v>659.75</v>
      </c>
      <c r="L23" s="344">
        <v>21579.27</v>
      </c>
      <c r="M23" s="345">
        <v>21579.27</v>
      </c>
      <c r="N23" s="351">
        <v>21579.27</v>
      </c>
      <c r="O23" s="344">
        <v>18496.53</v>
      </c>
      <c r="P23" s="345">
        <v>3082.31</v>
      </c>
      <c r="Q23" s="344">
        <v>6673.04</v>
      </c>
      <c r="R23" s="352">
        <v>10009.56</v>
      </c>
      <c r="S23" s="345">
        <v>13346.08</v>
      </c>
      <c r="T23" s="344">
        <v>4686.5600000000004</v>
      </c>
      <c r="U23" s="345">
        <v>7029.83</v>
      </c>
    </row>
    <row r="24" spans="1:21" x14ac:dyDescent="0.25">
      <c r="A24" s="341">
        <v>42522</v>
      </c>
      <c r="B24" s="366">
        <v>6806.55</v>
      </c>
      <c r="C24" s="366">
        <v>10209.83</v>
      </c>
      <c r="D24" s="366">
        <v>13613.1</v>
      </c>
      <c r="E24" s="366">
        <v>1171.74</v>
      </c>
      <c r="F24" s="366">
        <v>3992.84</v>
      </c>
      <c r="G24" s="366">
        <v>6380.06</v>
      </c>
      <c r="H24" s="366">
        <v>9294.9500000000007</v>
      </c>
      <c r="I24" s="366">
        <v>10544.53</v>
      </c>
      <c r="J24" s="366">
        <v>3403.28</v>
      </c>
      <c r="K24" s="366">
        <v>672.95</v>
      </c>
      <c r="L24" s="366">
        <v>22011.02</v>
      </c>
      <c r="M24" s="366">
        <v>22011.02</v>
      </c>
      <c r="N24" s="366">
        <v>22011.02</v>
      </c>
      <c r="O24" s="366">
        <v>18866.599999999999</v>
      </c>
      <c r="P24" s="366">
        <v>3143.98</v>
      </c>
      <c r="Q24" s="366">
        <v>6806.55</v>
      </c>
      <c r="R24" s="366">
        <v>10209.83</v>
      </c>
      <c r="S24" s="366">
        <v>13613.1</v>
      </c>
      <c r="T24" s="366">
        <v>4780.33</v>
      </c>
      <c r="U24" s="367">
        <v>7170.48</v>
      </c>
    </row>
    <row r="25" spans="1:21" x14ac:dyDescent="0.25">
      <c r="A25" s="29">
        <v>42887</v>
      </c>
      <c r="B25" s="148">
        <v>6942.59</v>
      </c>
      <c r="C25" s="148">
        <v>10413.89</v>
      </c>
      <c r="D25" s="148">
        <v>13885.18</v>
      </c>
      <c r="E25" s="148">
        <v>1195.1600000000001</v>
      </c>
      <c r="F25" s="148">
        <v>4072.64</v>
      </c>
      <c r="G25" s="148">
        <v>6507.58</v>
      </c>
      <c r="H25" s="148">
        <v>9480.7199999999993</v>
      </c>
      <c r="I25" s="148">
        <v>10755.28</v>
      </c>
      <c r="J25" s="148">
        <v>3471.3</v>
      </c>
      <c r="K25" s="148">
        <v>686.4</v>
      </c>
      <c r="L25" s="148">
        <v>22450.95</v>
      </c>
      <c r="M25" s="148">
        <v>22450.95</v>
      </c>
      <c r="N25" s="148">
        <v>22450.95</v>
      </c>
      <c r="O25" s="148">
        <v>19243.68</v>
      </c>
      <c r="P25" s="148">
        <v>3206.82</v>
      </c>
      <c r="Q25" s="148">
        <v>6942.59</v>
      </c>
      <c r="R25" s="148">
        <v>10413.89</v>
      </c>
      <c r="S25" s="148">
        <v>13885.18</v>
      </c>
      <c r="T25" s="148">
        <v>4875.87</v>
      </c>
      <c r="U25" s="148">
        <v>7313.8</v>
      </c>
    </row>
    <row r="26" spans="1:21" x14ac:dyDescent="0.25">
      <c r="A26" s="342">
        <v>42979</v>
      </c>
      <c r="B26" s="368">
        <v>7143.93</v>
      </c>
      <c r="C26" s="369">
        <v>10715.9</v>
      </c>
      <c r="D26" s="370">
        <v>14287.86</v>
      </c>
      <c r="E26" s="368">
        <v>1195.1600000000001</v>
      </c>
      <c r="F26" s="368">
        <v>4072.64</v>
      </c>
      <c r="G26" s="368">
        <v>6507.58</v>
      </c>
      <c r="H26" s="368">
        <v>9480.7199999999993</v>
      </c>
      <c r="I26" s="368">
        <v>10755.28</v>
      </c>
      <c r="J26" s="368">
        <v>3571.97</v>
      </c>
      <c r="K26" s="368">
        <v>686.4</v>
      </c>
      <c r="L26" s="368">
        <v>22450.95</v>
      </c>
      <c r="M26" s="368">
        <v>22450.95</v>
      </c>
      <c r="N26" s="368">
        <v>22450.95</v>
      </c>
      <c r="O26" s="368">
        <v>19243.68</v>
      </c>
      <c r="P26" s="368">
        <v>3206.82</v>
      </c>
      <c r="Q26" s="368">
        <v>7143.93</v>
      </c>
      <c r="R26" s="368">
        <v>10715.9</v>
      </c>
      <c r="S26" s="368">
        <v>14287.86</v>
      </c>
      <c r="T26" s="368">
        <v>4875.87</v>
      </c>
      <c r="U26" s="368">
        <v>7313.8</v>
      </c>
    </row>
    <row r="27" spans="1:21" x14ac:dyDescent="0.25">
      <c r="A27" s="342">
        <v>43282</v>
      </c>
      <c r="B27" s="344">
        <v>7143.93</v>
      </c>
      <c r="C27" s="352">
        <v>10715.9</v>
      </c>
      <c r="D27" s="345">
        <v>14767.85</v>
      </c>
      <c r="E27" s="344">
        <v>1246.96</v>
      </c>
      <c r="F27" s="352">
        <v>4124.4399999999996</v>
      </c>
      <c r="G27" s="352">
        <v>6559.38</v>
      </c>
      <c r="H27" s="352">
        <v>9532.52</v>
      </c>
      <c r="I27" s="345">
        <v>10807.08</v>
      </c>
      <c r="J27" s="344">
        <v>3571.97</v>
      </c>
      <c r="K27" s="345">
        <v>686.4</v>
      </c>
      <c r="L27" s="344">
        <v>22450.95</v>
      </c>
      <c r="M27" s="345">
        <v>22450.95</v>
      </c>
      <c r="N27" s="351">
        <v>22450.95</v>
      </c>
      <c r="O27" s="344">
        <v>19243.68</v>
      </c>
      <c r="P27" s="345">
        <v>3206.82</v>
      </c>
      <c r="Q27" s="344">
        <v>7143.93</v>
      </c>
      <c r="R27" s="352">
        <v>10715.9</v>
      </c>
      <c r="S27" s="345">
        <v>14767.85</v>
      </c>
      <c r="T27" s="344">
        <v>4875.87</v>
      </c>
      <c r="U27" s="345">
        <v>7313.8</v>
      </c>
    </row>
    <row r="28" spans="1:21" x14ac:dyDescent="0.25">
      <c r="A28" s="339">
        <v>43313</v>
      </c>
      <c r="B28" s="344">
        <v>7143.93</v>
      </c>
      <c r="C28" s="344">
        <v>10715.9</v>
      </c>
      <c r="D28" s="344">
        <v>14767.85</v>
      </c>
      <c r="E28" s="344">
        <v>1246.96</v>
      </c>
      <c r="F28" s="344">
        <v>4124.4399999999996</v>
      </c>
      <c r="G28" s="344">
        <v>6559.38</v>
      </c>
      <c r="H28" s="344">
        <v>9532.52</v>
      </c>
      <c r="I28" s="344">
        <v>10807.08</v>
      </c>
      <c r="J28" s="344">
        <v>3571.97</v>
      </c>
      <c r="K28" s="344">
        <v>686.4</v>
      </c>
      <c r="L28" s="344">
        <v>39289.17</v>
      </c>
      <c r="M28" s="344">
        <v>39289.17</v>
      </c>
      <c r="N28" s="344">
        <v>22450.95</v>
      </c>
      <c r="O28" s="344">
        <v>19243.68</v>
      </c>
      <c r="P28" s="344">
        <v>3206.82</v>
      </c>
      <c r="Q28" s="344">
        <v>7143.93</v>
      </c>
      <c r="R28" s="344">
        <v>10715.9</v>
      </c>
      <c r="S28" s="344">
        <v>14767.85</v>
      </c>
      <c r="T28" s="344">
        <v>4875.87</v>
      </c>
      <c r="U28" s="344">
        <v>7313.8</v>
      </c>
    </row>
    <row r="29" spans="1:21" x14ac:dyDescent="0.25">
      <c r="A29" s="339">
        <v>43344</v>
      </c>
      <c r="B29" s="344">
        <v>7286.51</v>
      </c>
      <c r="C29" s="352">
        <v>10929.78</v>
      </c>
      <c r="D29" s="345">
        <v>15062.61</v>
      </c>
      <c r="E29" s="344">
        <v>1271.8399999999999</v>
      </c>
      <c r="F29" s="352">
        <v>4206.76</v>
      </c>
      <c r="G29" s="352">
        <v>6690.3</v>
      </c>
      <c r="H29" s="352">
        <v>9722.7800000000007</v>
      </c>
      <c r="I29" s="345">
        <v>11022.78</v>
      </c>
      <c r="J29" s="344">
        <v>3643.26</v>
      </c>
      <c r="K29" s="345">
        <v>700.1</v>
      </c>
      <c r="L29" s="344">
        <v>40073.35</v>
      </c>
      <c r="M29" s="345">
        <v>40073.35</v>
      </c>
      <c r="N29" s="351">
        <v>22899.05</v>
      </c>
      <c r="O29" s="344">
        <v>19627.77</v>
      </c>
      <c r="P29" s="345">
        <v>3270.83</v>
      </c>
      <c r="Q29" s="344">
        <v>7286.51</v>
      </c>
      <c r="R29" s="352">
        <v>10929.78</v>
      </c>
      <c r="S29" s="345">
        <v>15062.61</v>
      </c>
      <c r="T29" s="344">
        <v>4973.1899999999996</v>
      </c>
      <c r="U29" s="345">
        <v>7459.78</v>
      </c>
    </row>
    <row r="30" spans="1:21" x14ac:dyDescent="0.25">
      <c r="A30" s="339">
        <v>43647</v>
      </c>
      <c r="B30" s="268">
        <v>7432.25</v>
      </c>
      <c r="C30" s="261">
        <v>11148.38</v>
      </c>
      <c r="D30" s="267">
        <v>15062.61</v>
      </c>
      <c r="E30" s="344">
        <v>1271.8399999999999</v>
      </c>
      <c r="F30" s="352">
        <v>4206.76</v>
      </c>
      <c r="G30" s="352">
        <v>6690.3</v>
      </c>
      <c r="H30" s="352">
        <v>9722.7800000000007</v>
      </c>
      <c r="I30" s="345">
        <v>11022.78</v>
      </c>
      <c r="J30" s="268">
        <v>3716.3</v>
      </c>
      <c r="K30" s="267">
        <v>700.1</v>
      </c>
      <c r="L30" s="344">
        <v>40073.35</v>
      </c>
      <c r="M30" s="345">
        <v>40073.35</v>
      </c>
      <c r="N30" s="351">
        <v>22899.05</v>
      </c>
      <c r="O30" s="344">
        <v>19627.77</v>
      </c>
      <c r="P30" s="345">
        <v>3270.83</v>
      </c>
      <c r="Q30" s="268">
        <v>7432.25</v>
      </c>
      <c r="R30" s="261">
        <v>11148.38</v>
      </c>
      <c r="S30" s="267">
        <v>15062.61</v>
      </c>
      <c r="T30" s="344">
        <v>4973.1899999999996</v>
      </c>
      <c r="U30" s="345">
        <v>7459.78</v>
      </c>
    </row>
    <row r="31" spans="1:21" x14ac:dyDescent="0.25">
      <c r="A31" s="339">
        <v>43831</v>
      </c>
      <c r="B31" s="268">
        <v>7523.29</v>
      </c>
      <c r="C31" s="261">
        <v>11284.94</v>
      </c>
      <c r="D31" s="267">
        <v>15250.89</v>
      </c>
      <c r="E31" s="268">
        <v>1271.8399999999999</v>
      </c>
      <c r="F31" s="261">
        <v>4206.76</v>
      </c>
      <c r="G31" s="261">
        <v>6690.3</v>
      </c>
      <c r="H31" s="261">
        <v>9722.7800000000007</v>
      </c>
      <c r="I31" s="267">
        <v>11022.78</v>
      </c>
      <c r="J31" s="268">
        <v>3761.65</v>
      </c>
      <c r="K31" s="267">
        <v>700.1</v>
      </c>
      <c r="L31" s="268">
        <v>40073.35</v>
      </c>
      <c r="M31" s="267">
        <v>40073.35</v>
      </c>
      <c r="N31" s="272">
        <v>22899.05</v>
      </c>
      <c r="O31" s="268">
        <v>19627.77</v>
      </c>
      <c r="P31" s="267">
        <v>3270.83</v>
      </c>
      <c r="Q31" s="268">
        <v>7523.29</v>
      </c>
      <c r="R31" s="261">
        <v>11284.94</v>
      </c>
      <c r="S31" s="267">
        <v>15250.89</v>
      </c>
      <c r="T31" s="344">
        <v>4973.1899999999996</v>
      </c>
      <c r="U31" s="345">
        <v>7459.78</v>
      </c>
    </row>
    <row r="32" spans="1:21" x14ac:dyDescent="0.25">
      <c r="A32" s="339">
        <v>43891</v>
      </c>
      <c r="B32" s="268">
        <v>7673.73</v>
      </c>
      <c r="C32" s="261">
        <v>11510.61</v>
      </c>
      <c r="D32" s="267">
        <v>15555.87</v>
      </c>
      <c r="E32" s="268">
        <v>1297.28</v>
      </c>
      <c r="F32" s="261">
        <v>4290.88</v>
      </c>
      <c r="G32" s="261">
        <v>6824.08</v>
      </c>
      <c r="H32" s="261">
        <v>9917.2099999999991</v>
      </c>
      <c r="I32" s="267">
        <v>11243.2</v>
      </c>
      <c r="J32" s="268">
        <v>3836.87</v>
      </c>
      <c r="K32" s="267">
        <v>714.1</v>
      </c>
      <c r="L32" s="268">
        <v>40874.699999999997</v>
      </c>
      <c r="M32" s="267">
        <v>40874.699999999997</v>
      </c>
      <c r="N32" s="272">
        <v>23356.97</v>
      </c>
      <c r="O32" s="268">
        <v>20020.259999999998</v>
      </c>
      <c r="P32" s="267">
        <v>3336.23</v>
      </c>
      <c r="Q32" s="268">
        <v>7673.73</v>
      </c>
      <c r="R32" s="261">
        <v>11510.61</v>
      </c>
      <c r="S32" s="267">
        <v>15555.87</v>
      </c>
      <c r="T32" s="280">
        <v>5072.6400000000003</v>
      </c>
      <c r="U32" s="281">
        <v>7608.95</v>
      </c>
    </row>
    <row r="33" spans="1:21" x14ac:dyDescent="0.25">
      <c r="A33" s="339">
        <v>44197</v>
      </c>
      <c r="B33" s="268">
        <v>7879.96</v>
      </c>
      <c r="C33" s="261">
        <v>11819.95</v>
      </c>
      <c r="D33" s="267">
        <v>15973.93</v>
      </c>
      <c r="E33" s="268">
        <v>1297.28</v>
      </c>
      <c r="F33" s="261">
        <v>4290.88</v>
      </c>
      <c r="G33" s="261">
        <v>6824.08</v>
      </c>
      <c r="H33" s="261">
        <v>9917.2099999999991</v>
      </c>
      <c r="I33" s="267">
        <v>11243.2</v>
      </c>
      <c r="J33" s="268">
        <v>3939.98</v>
      </c>
      <c r="K33" s="267">
        <v>714.1</v>
      </c>
      <c r="L33" s="268">
        <v>1000000</v>
      </c>
      <c r="M33" s="267">
        <v>1000000</v>
      </c>
      <c r="N33" s="272">
        <v>23356.97</v>
      </c>
      <c r="O33" s="268">
        <v>20020.259999999998</v>
      </c>
      <c r="P33" s="267">
        <v>3336.23</v>
      </c>
      <c r="Q33" s="268">
        <v>7879.96</v>
      </c>
      <c r="R33" s="261">
        <v>11819.95</v>
      </c>
      <c r="S33" s="267">
        <v>15973.93</v>
      </c>
      <c r="T33" s="280">
        <v>5072.6400000000003</v>
      </c>
      <c r="U33" s="281">
        <v>7608.95</v>
      </c>
    </row>
    <row r="34" spans="1:21" x14ac:dyDescent="0.25">
      <c r="A34" s="339">
        <v>44378</v>
      </c>
      <c r="B34" s="268">
        <v>8037.57</v>
      </c>
      <c r="C34" s="261">
        <v>12056.35</v>
      </c>
      <c r="D34" s="267">
        <v>16293.41</v>
      </c>
      <c r="E34" s="268">
        <v>1297.28</v>
      </c>
      <c r="F34" s="261">
        <v>4290.88</v>
      </c>
      <c r="G34" s="261">
        <v>6824.08</v>
      </c>
      <c r="H34" s="261">
        <v>9917.2099999999991</v>
      </c>
      <c r="I34" s="267">
        <v>11243.2</v>
      </c>
      <c r="J34" s="268">
        <v>4018.79</v>
      </c>
      <c r="K34" s="267">
        <v>714.1</v>
      </c>
      <c r="L34" s="268">
        <v>1000000</v>
      </c>
      <c r="M34" s="267">
        <v>1000000</v>
      </c>
      <c r="N34" s="272">
        <v>23356.97</v>
      </c>
      <c r="O34" s="268">
        <v>20020.259999999998</v>
      </c>
      <c r="P34" s="267">
        <v>3336.23</v>
      </c>
      <c r="Q34" s="268">
        <v>8037.57</v>
      </c>
      <c r="R34" s="261">
        <v>12056.35</v>
      </c>
      <c r="S34" s="267">
        <v>16293.41</v>
      </c>
      <c r="T34" s="280">
        <v>5072.6400000000003</v>
      </c>
      <c r="U34" s="281">
        <v>7608.95</v>
      </c>
    </row>
    <row r="35" spans="1:21" x14ac:dyDescent="0.25">
      <c r="A35" s="339">
        <v>44440</v>
      </c>
      <c r="B35" s="268">
        <v>8198.52</v>
      </c>
      <c r="C35" s="261">
        <v>12297.78</v>
      </c>
      <c r="D35" s="267">
        <v>16619.68</v>
      </c>
      <c r="E35" s="268">
        <v>1323.26</v>
      </c>
      <c r="F35" s="261">
        <v>4376.8100000000004</v>
      </c>
      <c r="G35" s="261">
        <v>6960.74</v>
      </c>
      <c r="H35" s="261">
        <v>10115.799999999999</v>
      </c>
      <c r="I35" s="267">
        <v>11468.35</v>
      </c>
      <c r="J35" s="268">
        <v>4099.26</v>
      </c>
      <c r="K35" s="267">
        <v>728.4</v>
      </c>
      <c r="L35" s="268">
        <v>1000000</v>
      </c>
      <c r="M35" s="267">
        <v>1000000</v>
      </c>
      <c r="N35" s="272">
        <v>23824.7</v>
      </c>
      <c r="O35" s="268">
        <v>20421.169999999998</v>
      </c>
      <c r="P35" s="267">
        <v>3403.04</v>
      </c>
      <c r="Q35" s="268">
        <v>8198.52</v>
      </c>
      <c r="R35" s="261">
        <v>12297.78</v>
      </c>
      <c r="S35" s="267">
        <v>16619.68</v>
      </c>
      <c r="T35" s="280">
        <v>5174.22</v>
      </c>
      <c r="U35" s="281">
        <v>7761.32</v>
      </c>
    </row>
    <row r="36" spans="1:21" x14ac:dyDescent="0.25">
      <c r="A36" s="262"/>
      <c r="B36" s="268"/>
      <c r="C36" s="261"/>
      <c r="D36" s="267"/>
      <c r="E36" s="268"/>
      <c r="F36" s="261"/>
      <c r="G36" s="261"/>
      <c r="H36" s="261"/>
      <c r="I36" s="267"/>
      <c r="J36" s="268"/>
      <c r="K36" s="267"/>
      <c r="L36" s="268"/>
      <c r="M36" s="267"/>
      <c r="N36" s="272"/>
      <c r="O36" s="268"/>
      <c r="P36" s="267"/>
      <c r="Q36" s="268"/>
      <c r="R36" s="261"/>
      <c r="S36" s="267"/>
      <c r="T36" s="280"/>
      <c r="U36" s="281"/>
    </row>
    <row r="37" spans="1:21" x14ac:dyDescent="0.25">
      <c r="A37" s="262"/>
      <c r="B37" s="268"/>
      <c r="C37" s="261"/>
      <c r="D37" s="267"/>
      <c r="E37" s="268"/>
      <c r="F37" s="261"/>
      <c r="G37" s="261"/>
      <c r="H37" s="261"/>
      <c r="I37" s="267"/>
      <c r="J37" s="268"/>
      <c r="K37" s="267"/>
      <c r="L37" s="268"/>
      <c r="M37" s="267"/>
      <c r="N37" s="272"/>
      <c r="O37" s="268"/>
      <c r="P37" s="267"/>
      <c r="Q37" s="268"/>
      <c r="R37" s="261"/>
      <c r="S37" s="267"/>
      <c r="T37" s="280"/>
      <c r="U37" s="281"/>
    </row>
    <row r="38" spans="1:21" x14ac:dyDescent="0.25">
      <c r="A38" s="262"/>
      <c r="B38" s="268"/>
      <c r="C38" s="261"/>
      <c r="D38" s="267"/>
      <c r="E38" s="268"/>
      <c r="F38" s="261"/>
      <c r="G38" s="261"/>
      <c r="H38" s="261"/>
      <c r="I38" s="267"/>
      <c r="J38" s="268"/>
      <c r="K38" s="267"/>
      <c r="L38" s="268"/>
      <c r="M38" s="267"/>
      <c r="N38" s="272"/>
      <c r="O38" s="268"/>
      <c r="P38" s="267"/>
      <c r="Q38" s="268"/>
      <c r="R38" s="261"/>
      <c r="S38" s="267"/>
      <c r="T38" s="280"/>
      <c r="U38" s="281"/>
    </row>
    <row r="39" spans="1:21" x14ac:dyDescent="0.25">
      <c r="A39" s="262"/>
      <c r="B39" s="268"/>
      <c r="C39" s="261"/>
      <c r="D39" s="267"/>
      <c r="E39" s="268"/>
      <c r="F39" s="261"/>
      <c r="G39" s="261"/>
      <c r="H39" s="261"/>
      <c r="I39" s="267"/>
      <c r="J39" s="268"/>
      <c r="K39" s="267"/>
      <c r="L39" s="268"/>
      <c r="M39" s="267"/>
      <c r="N39" s="272"/>
      <c r="O39" s="268"/>
      <c r="P39" s="267"/>
      <c r="Q39" s="268"/>
      <c r="R39" s="261"/>
      <c r="S39" s="267"/>
      <c r="T39" s="280"/>
      <c r="U39" s="281"/>
    </row>
    <row r="40" spans="1:21" x14ac:dyDescent="0.25">
      <c r="A40" s="262"/>
      <c r="B40" s="268"/>
      <c r="C40" s="261"/>
      <c r="D40" s="267"/>
      <c r="E40" s="268"/>
      <c r="F40" s="261"/>
      <c r="G40" s="261"/>
      <c r="H40" s="261"/>
      <c r="I40" s="267"/>
      <c r="J40" s="268"/>
      <c r="K40" s="267"/>
      <c r="L40" s="268"/>
      <c r="M40" s="267"/>
      <c r="N40" s="272"/>
      <c r="O40" s="268"/>
      <c r="P40" s="267"/>
      <c r="Q40" s="268"/>
      <c r="R40" s="261"/>
      <c r="S40" s="267"/>
      <c r="T40" s="280"/>
      <c r="U40" s="281"/>
    </row>
    <row r="41" spans="1:21" x14ac:dyDescent="0.25">
      <c r="A41" s="262"/>
      <c r="B41" s="268"/>
      <c r="C41" s="261"/>
      <c r="D41" s="267"/>
      <c r="E41" s="268"/>
      <c r="F41" s="261"/>
      <c r="G41" s="261"/>
      <c r="H41" s="261"/>
      <c r="I41" s="267"/>
      <c r="J41" s="268"/>
      <c r="K41" s="267"/>
      <c r="L41" s="268"/>
      <c r="M41" s="267"/>
      <c r="N41" s="272"/>
      <c r="O41" s="268"/>
      <c r="P41" s="267"/>
      <c r="Q41" s="268"/>
      <c r="R41" s="261"/>
      <c r="S41" s="267"/>
      <c r="T41" s="280"/>
      <c r="U41" s="281"/>
    </row>
    <row r="42" spans="1:21" x14ac:dyDescent="0.25">
      <c r="A42" s="262"/>
      <c r="B42" s="268"/>
      <c r="C42" s="261"/>
      <c r="D42" s="267"/>
      <c r="E42" s="268"/>
      <c r="F42" s="261"/>
      <c r="G42" s="261"/>
      <c r="H42" s="261"/>
      <c r="I42" s="267"/>
      <c r="J42" s="268"/>
      <c r="K42" s="267"/>
      <c r="L42" s="268"/>
      <c r="M42" s="267"/>
      <c r="N42" s="272"/>
      <c r="O42" s="268"/>
      <c r="P42" s="267"/>
      <c r="Q42" s="268"/>
      <c r="R42" s="261"/>
      <c r="S42" s="267"/>
      <c r="T42" s="280"/>
      <c r="U42" s="281"/>
    </row>
    <row r="43" spans="1:21" x14ac:dyDescent="0.25">
      <c r="A43" s="262"/>
      <c r="B43" s="268"/>
      <c r="C43" s="261"/>
      <c r="D43" s="267"/>
      <c r="E43" s="268"/>
      <c r="F43" s="261"/>
      <c r="G43" s="261"/>
      <c r="H43" s="261"/>
      <c r="I43" s="267"/>
      <c r="J43" s="268"/>
      <c r="K43" s="267"/>
      <c r="L43" s="268"/>
      <c r="M43" s="267"/>
      <c r="N43" s="272"/>
      <c r="O43" s="268"/>
      <c r="P43" s="267"/>
      <c r="Q43" s="268"/>
      <c r="R43" s="261"/>
      <c r="S43" s="267"/>
      <c r="T43" s="280"/>
      <c r="U43" s="281"/>
    </row>
    <row r="44" spans="1:21" x14ac:dyDescent="0.25">
      <c r="A44" s="262"/>
      <c r="B44" s="268"/>
      <c r="C44" s="261"/>
      <c r="D44" s="267"/>
      <c r="E44" s="268"/>
      <c r="F44" s="261"/>
      <c r="G44" s="261"/>
      <c r="H44" s="261"/>
      <c r="I44" s="267"/>
      <c r="J44" s="268"/>
      <c r="K44" s="267"/>
      <c r="L44" s="268"/>
      <c r="M44" s="267"/>
      <c r="N44" s="272"/>
      <c r="O44" s="268"/>
      <c r="P44" s="267"/>
      <c r="Q44" s="268"/>
      <c r="R44" s="261"/>
      <c r="S44" s="267"/>
      <c r="T44" s="280"/>
      <c r="U44" s="281"/>
    </row>
    <row r="45" spans="1:21" x14ac:dyDescent="0.25">
      <c r="A45" s="262"/>
      <c r="B45" s="268"/>
      <c r="C45" s="261"/>
      <c r="D45" s="267"/>
      <c r="E45" s="268"/>
      <c r="F45" s="261"/>
      <c r="G45" s="261"/>
      <c r="H45" s="261"/>
      <c r="I45" s="267"/>
      <c r="J45" s="268"/>
      <c r="K45" s="267"/>
      <c r="L45" s="268"/>
      <c r="M45" s="267"/>
      <c r="N45" s="272"/>
      <c r="O45" s="268"/>
      <c r="P45" s="267"/>
      <c r="Q45" s="268"/>
      <c r="R45" s="261"/>
      <c r="S45" s="267"/>
      <c r="T45" s="280"/>
      <c r="U45" s="281"/>
    </row>
    <row r="46" spans="1:21" x14ac:dyDescent="0.25">
      <c r="A46" s="262"/>
      <c r="B46" s="268"/>
      <c r="C46" s="261"/>
      <c r="D46" s="267"/>
      <c r="E46" s="268"/>
      <c r="F46" s="261"/>
      <c r="G46" s="261"/>
      <c r="H46" s="261"/>
      <c r="I46" s="267"/>
      <c r="J46" s="268"/>
      <c r="K46" s="267"/>
      <c r="L46" s="268"/>
      <c r="M46" s="267"/>
      <c r="N46" s="272"/>
      <c r="O46" s="268"/>
      <c r="P46" s="267"/>
      <c r="Q46" s="268"/>
      <c r="R46" s="261"/>
      <c r="S46" s="267"/>
      <c r="T46" s="280"/>
      <c r="U46" s="281"/>
    </row>
    <row r="47" spans="1:21" x14ac:dyDescent="0.25">
      <c r="A47" s="262"/>
      <c r="B47" s="268"/>
      <c r="C47" s="261"/>
      <c r="D47" s="267"/>
      <c r="E47" s="268"/>
      <c r="F47" s="261"/>
      <c r="G47" s="261"/>
      <c r="H47" s="261"/>
      <c r="I47" s="267"/>
      <c r="J47" s="268"/>
      <c r="K47" s="267"/>
      <c r="L47" s="268"/>
      <c r="M47" s="267"/>
      <c r="N47" s="272"/>
      <c r="O47" s="268"/>
      <c r="P47" s="267"/>
      <c r="Q47" s="268"/>
      <c r="R47" s="261"/>
      <c r="S47" s="267"/>
      <c r="T47" s="280"/>
      <c r="U47" s="281"/>
    </row>
    <row r="48" spans="1:21" x14ac:dyDescent="0.25">
      <c r="A48" s="262"/>
      <c r="B48" s="268"/>
      <c r="C48" s="261"/>
      <c r="D48" s="267"/>
      <c r="E48" s="268"/>
      <c r="F48" s="261"/>
      <c r="G48" s="261"/>
      <c r="H48" s="261"/>
      <c r="I48" s="267"/>
      <c r="J48" s="268"/>
      <c r="K48" s="267"/>
      <c r="L48" s="268"/>
      <c r="M48" s="267"/>
      <c r="N48" s="272"/>
      <c r="O48" s="268"/>
      <c r="P48" s="267"/>
      <c r="Q48" s="268"/>
      <c r="R48" s="261"/>
      <c r="S48" s="267"/>
      <c r="T48" s="280"/>
      <c r="U48" s="281"/>
    </row>
    <row r="49" spans="1:21" x14ac:dyDescent="0.25">
      <c r="A49" s="262"/>
      <c r="B49" s="268"/>
      <c r="C49" s="261"/>
      <c r="D49" s="267"/>
      <c r="E49" s="268"/>
      <c r="F49" s="261"/>
      <c r="G49" s="261"/>
      <c r="H49" s="261"/>
      <c r="I49" s="267"/>
      <c r="J49" s="268"/>
      <c r="K49" s="267"/>
      <c r="L49" s="268"/>
      <c r="M49" s="267"/>
      <c r="N49" s="272"/>
      <c r="O49" s="268"/>
      <c r="P49" s="267"/>
      <c r="Q49" s="268"/>
      <c r="R49" s="261"/>
      <c r="S49" s="267"/>
      <c r="T49" s="280"/>
      <c r="U49" s="281"/>
    </row>
    <row r="50" spans="1:21" x14ac:dyDescent="0.25">
      <c r="A50" s="262"/>
      <c r="B50" s="268"/>
      <c r="C50" s="261"/>
      <c r="D50" s="267"/>
      <c r="E50" s="268"/>
      <c r="F50" s="261"/>
      <c r="G50" s="261"/>
      <c r="H50" s="261"/>
      <c r="I50" s="267"/>
      <c r="J50" s="268"/>
      <c r="K50" s="267"/>
      <c r="L50" s="268"/>
      <c r="M50" s="267"/>
      <c r="N50" s="272"/>
      <c r="O50" s="268"/>
      <c r="P50" s="267"/>
      <c r="Q50" s="268"/>
      <c r="R50" s="261"/>
      <c r="S50" s="267"/>
      <c r="T50" s="280"/>
      <c r="U50" s="281"/>
    </row>
  </sheetData>
  <mergeCells count="8">
    <mergeCell ref="B2:D2"/>
    <mergeCell ref="E2:I2"/>
    <mergeCell ref="J2:K2"/>
    <mergeCell ref="L2:S2"/>
    <mergeCell ref="B3:D3"/>
    <mergeCell ref="L3:M3"/>
    <mergeCell ref="O3:P3"/>
    <mergeCell ref="Q3:S3"/>
  </mergeCells>
  <phoneticPr fontId="0" type="noConversion"/>
  <printOptions headings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showRowColHeaders="0" workbookViewId="0">
      <selection activeCell="C14" sqref="C14"/>
    </sheetView>
  </sheetViews>
  <sheetFormatPr baseColWidth="10" defaultRowHeight="12.5" x14ac:dyDescent="0.25"/>
  <cols>
    <col min="1" max="1" width="15.08984375" bestFit="1" customWidth="1"/>
    <col min="2" max="2" width="19.54296875" bestFit="1" customWidth="1"/>
    <col min="3" max="256" width="8.7265625" customWidth="1"/>
  </cols>
  <sheetData>
    <row r="1" spans="1:9" s="41" customFormat="1" x14ac:dyDescent="0.25">
      <c r="A1" s="46"/>
      <c r="B1" s="47" t="s">
        <v>51</v>
      </c>
      <c r="C1" s="48">
        <f>berekening!E1</f>
        <v>44440</v>
      </c>
      <c r="D1" s="49" t="s">
        <v>154</v>
      </c>
    </row>
    <row r="2" spans="1:9" s="41" customFormat="1" x14ac:dyDescent="0.25">
      <c r="A2" s="403" t="s">
        <v>1</v>
      </c>
      <c r="B2" s="47" t="s">
        <v>2</v>
      </c>
      <c r="C2" s="371">
        <f>VLOOKUP($C$1,'barema onderhoud'!$A$4:$S$50,2,TRUE)</f>
        <v>8198.52</v>
      </c>
      <c r="D2" s="17" t="str">
        <f>TEXT(C2,"#.##0,00")</f>
        <v>8.198,52</v>
      </c>
    </row>
    <row r="3" spans="1:9" s="41" customFormat="1" x14ac:dyDescent="0.25">
      <c r="A3" s="403"/>
      <c r="B3" s="47" t="s">
        <v>3</v>
      </c>
      <c r="C3" s="371">
        <f>VLOOKUP($C$1,'barema onderhoud'!$A$4:$S$50,3,TRUE)</f>
        <v>12297.78</v>
      </c>
      <c r="D3" s="17" t="str">
        <f t="shared" ref="D3:D21" si="0">TEXT(C3,"#.##0,00")</f>
        <v>12.297,78</v>
      </c>
    </row>
    <row r="4" spans="1:9" s="41" customFormat="1" x14ac:dyDescent="0.25">
      <c r="A4" s="403"/>
      <c r="B4" s="47" t="s">
        <v>4</v>
      </c>
      <c r="C4" s="371">
        <f>VLOOKUP($C$1,'barema onderhoud'!$A$4:$S$50,4,TRUE)</f>
        <v>16619.68</v>
      </c>
      <c r="D4" s="17" t="str">
        <f t="shared" si="0"/>
        <v>16.619,68</v>
      </c>
    </row>
    <row r="5" spans="1:9" s="41" customFormat="1" x14ac:dyDescent="0.25">
      <c r="A5" s="403" t="s">
        <v>5</v>
      </c>
      <c r="B5" s="47">
        <v>1</v>
      </c>
      <c r="C5" s="371">
        <f>VLOOKUP($C$1,'barema onderhoud'!$A$4:$S$50,5,TRUE)</f>
        <v>1323.26</v>
      </c>
      <c r="D5" s="17" t="str">
        <f t="shared" si="0"/>
        <v>1.323,26</v>
      </c>
      <c r="F5" s="45" t="s">
        <v>94</v>
      </c>
      <c r="G5" s="45"/>
      <c r="H5" s="45"/>
      <c r="I5" s="45"/>
    </row>
    <row r="6" spans="1:9" s="41" customFormat="1" x14ac:dyDescent="0.25">
      <c r="A6" s="403"/>
      <c r="B6" s="47">
        <v>2</v>
      </c>
      <c r="C6" s="371">
        <f>VLOOKUP($C$1,'barema onderhoud'!$A$4:$S$50,6,TRUE)</f>
        <v>4376.8100000000004</v>
      </c>
      <c r="D6" s="17" t="str">
        <f t="shared" si="0"/>
        <v>4.376,81</v>
      </c>
      <c r="F6" s="45" t="s">
        <v>91</v>
      </c>
      <c r="G6" s="45"/>
      <c r="H6" s="45"/>
      <c r="I6" s="45"/>
    </row>
    <row r="7" spans="1:9" s="41" customFormat="1" x14ac:dyDescent="0.25">
      <c r="A7" s="403"/>
      <c r="B7" s="47">
        <v>3</v>
      </c>
      <c r="C7" s="371">
        <f>VLOOKUP($C$1,'barema onderhoud'!$A$4:$S$50,7,TRUE)</f>
        <v>6960.74</v>
      </c>
      <c r="D7" s="17" t="str">
        <f t="shared" si="0"/>
        <v>6.960,74</v>
      </c>
      <c r="F7" s="45" t="s">
        <v>92</v>
      </c>
      <c r="G7" s="45"/>
      <c r="H7" s="45"/>
      <c r="I7" s="45"/>
    </row>
    <row r="8" spans="1:9" s="41" customFormat="1" x14ac:dyDescent="0.25">
      <c r="A8" s="403"/>
      <c r="B8" s="47">
        <v>4</v>
      </c>
      <c r="C8" s="371">
        <f>VLOOKUP($C$1,'barema onderhoud'!$A$4:$S$50,8,TRUE)</f>
        <v>10115.799999999999</v>
      </c>
      <c r="D8" s="17" t="str">
        <f t="shared" si="0"/>
        <v>10.115,80</v>
      </c>
      <c r="F8" s="45" t="s">
        <v>93</v>
      </c>
      <c r="G8" s="45"/>
      <c r="H8" s="45"/>
      <c r="I8" s="45"/>
    </row>
    <row r="9" spans="1:9" s="41" customFormat="1" x14ac:dyDescent="0.25">
      <c r="A9" s="403"/>
      <c r="B9" s="47">
        <v>5</v>
      </c>
      <c r="C9" s="371">
        <f>VLOOKUP($C$1,'barema onderhoud'!$A$4:$S$50,9,TRUE)</f>
        <v>11468.35</v>
      </c>
      <c r="D9" s="17" t="str">
        <f t="shared" si="0"/>
        <v>11.468,35</v>
      </c>
      <c r="F9" s="125" t="s">
        <v>145</v>
      </c>
      <c r="G9" s="125"/>
      <c r="H9" s="125"/>
      <c r="I9" s="125"/>
    </row>
    <row r="10" spans="1:9" s="41" customFormat="1" x14ac:dyDescent="0.25">
      <c r="A10" s="403" t="s">
        <v>45</v>
      </c>
      <c r="B10" s="47" t="s">
        <v>46</v>
      </c>
      <c r="C10" s="371">
        <f>VLOOKUP($C$1,'barema onderhoud'!$A$4:$S$50,10,TRUE)</f>
        <v>4099.26</v>
      </c>
      <c r="D10" s="17" t="str">
        <f t="shared" si="0"/>
        <v>4.099,26</v>
      </c>
      <c r="F10" s="45" t="s">
        <v>146</v>
      </c>
      <c r="G10" s="45"/>
      <c r="H10" s="45"/>
      <c r="I10" s="45"/>
    </row>
    <row r="11" spans="1:9" s="41" customFormat="1" x14ac:dyDescent="0.25">
      <c r="A11" s="403"/>
      <c r="B11" s="47" t="s">
        <v>8</v>
      </c>
      <c r="C11" s="371">
        <f>VLOOKUP($C$1,'barema onderhoud'!$A$4:$S$50,11,TRUE)</f>
        <v>728.4</v>
      </c>
      <c r="D11" s="17" t="str">
        <f t="shared" si="0"/>
        <v>728,40</v>
      </c>
    </row>
    <row r="12" spans="1:9" s="41" customFormat="1" x14ac:dyDescent="0.25">
      <c r="A12" s="403" t="s">
        <v>53</v>
      </c>
      <c r="B12" s="47" t="s">
        <v>47</v>
      </c>
      <c r="C12" s="371">
        <f>VLOOKUP($C$1,'barema onderhoud'!$A$4:$S$50,12,TRUE)</f>
        <v>1000000</v>
      </c>
      <c r="D12" s="17" t="str">
        <f t="shared" si="0"/>
        <v>1.000.000,00</v>
      </c>
    </row>
    <row r="13" spans="1:9" s="41" customFormat="1" x14ac:dyDescent="0.25">
      <c r="A13" s="403"/>
      <c r="B13" s="47" t="s">
        <v>48</v>
      </c>
      <c r="C13" s="371">
        <f>VLOOKUP($C$1,'barema onderhoud'!$A$4:$S$50,13,TRUE)</f>
        <v>1000000</v>
      </c>
      <c r="D13" s="17" t="str">
        <f t="shared" si="0"/>
        <v>1.000.000,00</v>
      </c>
    </row>
    <row r="14" spans="1:9" s="41" customFormat="1" x14ac:dyDescent="0.25">
      <c r="A14" s="403"/>
      <c r="B14" s="47" t="s">
        <v>49</v>
      </c>
      <c r="C14" s="371">
        <f>VLOOKUP($C$1,'barema onderhoud'!$A$4:$S$50,14,TRUE)</f>
        <v>23824.7</v>
      </c>
      <c r="D14" s="17" t="str">
        <f t="shared" si="0"/>
        <v>23.824,70</v>
      </c>
    </row>
    <row r="15" spans="1:9" s="41" customFormat="1" x14ac:dyDescent="0.25">
      <c r="A15" s="403"/>
      <c r="B15" s="47" t="s">
        <v>50</v>
      </c>
      <c r="C15" s="371">
        <f>VLOOKUP($C$1,'barema onderhoud'!$A$4:$S$50,15,TRUE)</f>
        <v>20421.169999999998</v>
      </c>
      <c r="D15" s="17" t="str">
        <f t="shared" si="0"/>
        <v>20.421,17</v>
      </c>
    </row>
    <row r="16" spans="1:9" s="41" customFormat="1" x14ac:dyDescent="0.25">
      <c r="A16" s="403"/>
      <c r="B16" s="47" t="s">
        <v>52</v>
      </c>
      <c r="C16" s="371">
        <f>VLOOKUP($C$1,'barema onderhoud'!$A$4:$S$50,16,TRUE)</f>
        <v>3403.04</v>
      </c>
      <c r="D16" s="17" t="str">
        <f t="shared" si="0"/>
        <v>3.403,04</v>
      </c>
    </row>
    <row r="17" spans="1:4" s="41" customFormat="1" x14ac:dyDescent="0.25">
      <c r="A17" s="402" t="s">
        <v>76</v>
      </c>
      <c r="B17" s="47" t="s">
        <v>2</v>
      </c>
      <c r="C17" s="371">
        <f>VLOOKUP($C$1,'barema onderhoud'!$A$4:$S$50,17,TRUE)</f>
        <v>8198.52</v>
      </c>
      <c r="D17" s="17" t="str">
        <f t="shared" si="0"/>
        <v>8.198,52</v>
      </c>
    </row>
    <row r="18" spans="1:4" s="41" customFormat="1" x14ac:dyDescent="0.25">
      <c r="A18" s="402"/>
      <c r="B18" s="47" t="s">
        <v>3</v>
      </c>
      <c r="C18" s="371">
        <f>VLOOKUP($C$1,'barema onderhoud'!$A$4:$S$50,18,TRUE)</f>
        <v>12297.78</v>
      </c>
      <c r="D18" s="17" t="str">
        <f t="shared" si="0"/>
        <v>12.297,78</v>
      </c>
    </row>
    <row r="19" spans="1:4" s="41" customFormat="1" x14ac:dyDescent="0.25">
      <c r="A19" s="402"/>
      <c r="B19" s="47" t="s">
        <v>4</v>
      </c>
      <c r="C19" s="371">
        <f>VLOOKUP($C$1,'barema onderhoud'!$A$4:$S$50,19,TRUE)</f>
        <v>16619.68</v>
      </c>
      <c r="D19" s="17" t="str">
        <f t="shared" si="0"/>
        <v>16.619,68</v>
      </c>
    </row>
    <row r="20" spans="1:4" x14ac:dyDescent="0.25">
      <c r="A20" s="284" t="s">
        <v>35</v>
      </c>
      <c r="B20" s="305">
        <v>0.5</v>
      </c>
      <c r="C20" s="371">
        <f>VLOOKUP($C$1,'barema onderhoud'!$A$4:$U$50,20,TRUE)</f>
        <v>5174.22</v>
      </c>
      <c r="D20" s="17" t="str">
        <f t="shared" si="0"/>
        <v>5.174,22</v>
      </c>
    </row>
    <row r="21" spans="1:4" x14ac:dyDescent="0.25">
      <c r="A21" s="285" t="s">
        <v>1</v>
      </c>
      <c r="B21" s="307">
        <v>0.25</v>
      </c>
      <c r="C21" s="371">
        <f>VLOOKUP($C$1,'barema onderhoud'!$A$4:$U$50,21,TRUE)</f>
        <v>7761.32</v>
      </c>
      <c r="D21" s="17" t="str">
        <f t="shared" si="0"/>
        <v>7.761,32</v>
      </c>
    </row>
    <row r="22" spans="1:4" x14ac:dyDescent="0.25">
      <c r="A22" s="315"/>
      <c r="B22" s="306"/>
      <c r="C22" s="317"/>
      <c r="D22" s="17"/>
    </row>
  </sheetData>
  <mergeCells count="5">
    <mergeCell ref="A17:A19"/>
    <mergeCell ref="A2:A4"/>
    <mergeCell ref="A5:A9"/>
    <mergeCell ref="A10:A11"/>
    <mergeCell ref="A12:A16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opLeftCell="A6" workbookViewId="0">
      <selection activeCell="C15" sqref="C15"/>
    </sheetView>
  </sheetViews>
  <sheetFormatPr baseColWidth="10" defaultColWidth="11.453125" defaultRowHeight="12.5" x14ac:dyDescent="0.25"/>
  <cols>
    <col min="1" max="1" width="3.54296875" style="1" customWidth="1"/>
    <col min="2" max="6" width="5.6328125" style="1" customWidth="1"/>
    <col min="7" max="7" width="10.453125" style="1" customWidth="1"/>
    <col min="8" max="8" width="11.36328125" style="1" bestFit="1" customWidth="1"/>
    <col min="9" max="10" width="11.453125" style="1" customWidth="1"/>
    <col min="11" max="11" width="9.453125" style="1" bestFit="1" customWidth="1"/>
    <col min="12" max="16384" width="11.453125" style="1"/>
  </cols>
  <sheetData>
    <row r="1" spans="1:8" ht="17.5" x14ac:dyDescent="0.35">
      <c r="A1" s="155" t="s">
        <v>115</v>
      </c>
    </row>
    <row r="4" spans="1:8" x14ac:dyDescent="0.25">
      <c r="A4" s="150"/>
      <c r="B4" s="183"/>
      <c r="C4" s="183"/>
      <c r="D4" s="183"/>
      <c r="E4" s="183"/>
      <c r="F4" s="183"/>
      <c r="G4" s="158"/>
      <c r="H4" s="184" t="s">
        <v>156</v>
      </c>
    </row>
    <row r="5" spans="1:8" ht="13" x14ac:dyDescent="0.3">
      <c r="A5" s="168" t="s">
        <v>157</v>
      </c>
      <c r="B5" s="21"/>
      <c r="C5" s="21"/>
      <c r="D5" s="160"/>
      <c r="E5" s="21"/>
      <c r="G5" s="157"/>
      <c r="H5" s="157"/>
    </row>
    <row r="6" spans="1:8" x14ac:dyDescent="0.25">
      <c r="A6" s="151"/>
      <c r="B6" s="21" t="s">
        <v>158</v>
      </c>
      <c r="C6" s="21"/>
      <c r="D6" s="21"/>
      <c r="E6" s="21"/>
      <c r="G6" s="157">
        <v>9000</v>
      </c>
      <c r="H6" s="157"/>
    </row>
    <row r="7" spans="1:8" x14ac:dyDescent="0.25">
      <c r="A7" s="151"/>
      <c r="B7" s="21" t="str">
        <f>"vrijstelling (maximum "&amp;TEXT('bedragen op'!C2/2,"#.##0,00")&amp;")"</f>
        <v>vrijstelling (maximum 4.099,26)</v>
      </c>
      <c r="C7" s="21"/>
      <c r="D7" s="161"/>
      <c r="E7" s="21"/>
      <c r="G7" s="157">
        <f>IF(G6&gt;'bedragen op'!C2/2,'bedragen op'!C2/2,'model IVT'!G6)</f>
        <v>4099.26</v>
      </c>
      <c r="H7" s="157"/>
    </row>
    <row r="8" spans="1:8" x14ac:dyDescent="0.25">
      <c r="A8" s="151"/>
      <c r="B8" s="21" t="s">
        <v>29</v>
      </c>
      <c r="C8" s="21"/>
      <c r="D8" s="161"/>
      <c r="E8" s="21"/>
      <c r="F8" s="152"/>
      <c r="G8" s="157"/>
      <c r="H8" s="157">
        <f>G6-G7</f>
        <v>4900.74</v>
      </c>
    </row>
    <row r="9" spans="1:8" x14ac:dyDescent="0.25">
      <c r="A9" s="153"/>
      <c r="B9" s="154"/>
      <c r="C9" s="165"/>
      <c r="D9" s="154"/>
      <c r="E9" s="154"/>
      <c r="F9" s="185"/>
      <c r="G9" s="157"/>
      <c r="H9" s="157"/>
    </row>
    <row r="10" spans="1:8" ht="13" x14ac:dyDescent="0.3">
      <c r="A10" s="168" t="s">
        <v>110</v>
      </c>
      <c r="B10" s="162"/>
      <c r="C10" s="21"/>
      <c r="D10" s="160"/>
      <c r="E10" s="21"/>
      <c r="G10" s="157"/>
      <c r="H10" s="157"/>
    </row>
    <row r="11" spans="1:8" x14ac:dyDescent="0.25">
      <c r="A11" s="151"/>
      <c r="B11" s="21" t="s">
        <v>158</v>
      </c>
      <c r="C11" s="21"/>
      <c r="D11" s="21"/>
      <c r="E11" s="21"/>
      <c r="G11" s="157">
        <v>15000</v>
      </c>
      <c r="H11" s="157"/>
    </row>
    <row r="12" spans="1:8" x14ac:dyDescent="0.25">
      <c r="A12" s="151"/>
      <c r="B12" s="21" t="s">
        <v>159</v>
      </c>
      <c r="C12" s="21"/>
      <c r="D12" s="21"/>
      <c r="E12" s="21"/>
      <c r="G12" s="157">
        <f>G11*10%</f>
        <v>1500</v>
      </c>
      <c r="H12" s="157"/>
    </row>
    <row r="13" spans="1:8" x14ac:dyDescent="0.25">
      <c r="A13" s="151"/>
      <c r="B13" s="21" t="s">
        <v>29</v>
      </c>
      <c r="C13" s="21"/>
      <c r="D13" s="21"/>
      <c r="E13" s="21"/>
      <c r="F13" s="152"/>
      <c r="G13" s="157"/>
      <c r="H13" s="157">
        <f>G11-G12</f>
        <v>13500</v>
      </c>
    </row>
    <row r="14" spans="1:8" x14ac:dyDescent="0.25">
      <c r="A14" s="153"/>
      <c r="B14" s="154"/>
      <c r="C14" s="154"/>
      <c r="D14" s="154"/>
      <c r="E14" s="154"/>
      <c r="F14" s="185"/>
      <c r="G14" s="157"/>
      <c r="H14" s="157"/>
    </row>
    <row r="15" spans="1:8" ht="26.25" customHeight="1" x14ac:dyDescent="0.3">
      <c r="A15" s="404" t="s">
        <v>160</v>
      </c>
      <c r="B15" s="405"/>
      <c r="C15" s="405"/>
      <c r="D15" s="405"/>
      <c r="E15" s="405"/>
      <c r="G15" s="157"/>
      <c r="H15" s="157"/>
    </row>
    <row r="16" spans="1:8" x14ac:dyDescent="0.25">
      <c r="A16" s="151"/>
      <c r="B16" s="21" t="s">
        <v>158</v>
      </c>
      <c r="C16" s="21"/>
      <c r="D16" s="21"/>
      <c r="E16" s="21"/>
      <c r="G16" s="157">
        <v>2360</v>
      </c>
      <c r="H16" s="157"/>
    </row>
    <row r="17" spans="1:8" x14ac:dyDescent="0.25">
      <c r="A17" s="151"/>
      <c r="B17" s="21" t="str">
        <f>"vrijstelling (maximum "&amp;TEXT('bedragen op'!C11,"#.##0,00")&amp;")"</f>
        <v>vrijstelling (maximum 728,40)</v>
      </c>
      <c r="C17" s="21"/>
      <c r="D17" s="21"/>
      <c r="E17" s="21"/>
      <c r="G17" s="157">
        <f>IF(G16&gt;'bedragen op'!C11,'bedragen op'!C11,'model IVT'!G16)</f>
        <v>728.4</v>
      </c>
      <c r="H17" s="157"/>
    </row>
    <row r="18" spans="1:8" x14ac:dyDescent="0.25">
      <c r="A18" s="151"/>
      <c r="B18" s="21" t="s">
        <v>29</v>
      </c>
      <c r="C18" s="21"/>
      <c r="D18" s="21"/>
      <c r="E18" s="21"/>
      <c r="F18" s="152"/>
      <c r="G18" s="157"/>
      <c r="H18" s="157">
        <f>G16-G17</f>
        <v>1631.6</v>
      </c>
    </row>
    <row r="19" spans="1:8" x14ac:dyDescent="0.25">
      <c r="A19" s="153"/>
      <c r="B19" s="154"/>
      <c r="C19" s="154"/>
      <c r="D19" s="154"/>
      <c r="E19" s="154"/>
      <c r="F19" s="185"/>
      <c r="G19" s="157"/>
      <c r="H19" s="157"/>
    </row>
    <row r="20" spans="1:8" ht="13" x14ac:dyDescent="0.3">
      <c r="A20" s="168" t="s">
        <v>185</v>
      </c>
      <c r="B20" s="21"/>
      <c r="C20" s="21"/>
      <c r="D20" s="21"/>
      <c r="E20" s="21"/>
      <c r="G20" s="157"/>
      <c r="H20" s="157"/>
    </row>
    <row r="21" spans="1:8" x14ac:dyDescent="0.25">
      <c r="A21" s="151"/>
      <c r="B21" s="21" t="s">
        <v>158</v>
      </c>
      <c r="C21" s="21"/>
      <c r="D21" s="21"/>
      <c r="E21" s="21"/>
      <c r="G21" s="157"/>
      <c r="H21" s="157"/>
    </row>
    <row r="22" spans="1:8" x14ac:dyDescent="0.25">
      <c r="A22" s="151"/>
      <c r="B22" s="21"/>
      <c r="C22" s="21"/>
      <c r="D22" s="21"/>
      <c r="E22" s="21"/>
      <c r="G22" s="157"/>
      <c r="H22" s="157"/>
    </row>
    <row r="23" spans="1:8" ht="13" x14ac:dyDescent="0.3">
      <c r="A23" s="167" t="s">
        <v>161</v>
      </c>
      <c r="B23" s="6"/>
      <c r="C23" s="6"/>
      <c r="D23" s="6"/>
      <c r="E23" s="6"/>
      <c r="F23" s="6"/>
      <c r="G23" s="6"/>
      <c r="H23" s="182">
        <f>SUM(H8:H21)</f>
        <v>20032.339999999997</v>
      </c>
    </row>
    <row r="24" spans="1:8" ht="13.5" thickBot="1" x14ac:dyDescent="0.35">
      <c r="A24" s="168"/>
      <c r="B24" s="21"/>
      <c r="C24" s="21"/>
      <c r="D24" s="21"/>
      <c r="E24" s="21"/>
      <c r="F24" s="21"/>
      <c r="G24" s="21"/>
      <c r="H24" s="21"/>
    </row>
    <row r="25" spans="1:8" ht="13" x14ac:dyDescent="0.3">
      <c r="A25" s="174" t="s">
        <v>162</v>
      </c>
      <c r="B25" s="175"/>
      <c r="C25" s="175"/>
      <c r="D25" s="175"/>
      <c r="E25" s="175"/>
      <c r="F25" s="175"/>
      <c r="G25" s="175"/>
      <c r="H25" s="176"/>
    </row>
    <row r="26" spans="1:8" ht="13" x14ac:dyDescent="0.3">
      <c r="A26" s="177"/>
      <c r="B26" s="21" t="s">
        <v>25</v>
      </c>
      <c r="C26" s="21"/>
      <c r="D26" s="21"/>
      <c r="E26" s="21"/>
      <c r="F26" s="21"/>
      <c r="G26" s="21"/>
      <c r="H26" s="178">
        <f>'bedragen op'!C4</f>
        <v>16619.68</v>
      </c>
    </row>
    <row r="27" spans="1:8" ht="13" x14ac:dyDescent="0.3">
      <c r="A27" s="177"/>
      <c r="B27" s="21" t="s">
        <v>156</v>
      </c>
      <c r="C27" s="21"/>
      <c r="D27" s="21"/>
      <c r="E27" s="21"/>
      <c r="F27" s="21"/>
      <c r="G27" s="21"/>
      <c r="H27" s="178">
        <f>H23</f>
        <v>20032.339999999997</v>
      </c>
    </row>
    <row r="28" spans="1:8" ht="13.5" thickBot="1" x14ac:dyDescent="0.35">
      <c r="A28" s="179"/>
      <c r="B28" s="180" t="s">
        <v>186</v>
      </c>
      <c r="C28" s="180"/>
      <c r="D28" s="180"/>
      <c r="E28" s="180"/>
      <c r="F28" s="180"/>
      <c r="G28" s="180"/>
      <c r="H28" s="181">
        <f>IF((H26-H27)&lt;0,0,H26-H27)</f>
        <v>0</v>
      </c>
    </row>
    <row r="29" spans="1:8" ht="13" x14ac:dyDescent="0.3">
      <c r="A29" s="173"/>
      <c r="B29" s="21"/>
      <c r="C29" s="21"/>
      <c r="D29" s="21"/>
      <c r="E29" s="21"/>
      <c r="F29" s="21"/>
      <c r="G29" s="21"/>
      <c r="H29" s="21"/>
    </row>
  </sheetData>
  <mergeCells count="1">
    <mergeCell ref="A15:E15"/>
  </mergeCells>
  <phoneticPr fontId="0" type="noConversion"/>
  <pageMargins left="0.75" right="0.75" top="1" bottom="1" header="0.5" footer="0.5"/>
  <pageSetup paperSize="9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4</vt:i4>
      </vt:variant>
    </vt:vector>
  </HeadingPairs>
  <TitlesOfParts>
    <vt:vector size="20" baseType="lpstr">
      <vt:lpstr>berekening</vt:lpstr>
      <vt:lpstr>ink_partner</vt:lpstr>
      <vt:lpstr>bedr &amp; vrijst overzicht</vt:lpstr>
      <vt:lpstr>Blad1 (2)</vt:lpstr>
      <vt:lpstr>2x cat C</vt:lpstr>
      <vt:lpstr>vrijst arbeid ivt 7_06</vt:lpstr>
      <vt:lpstr>barema onderhoud</vt:lpstr>
      <vt:lpstr>bedragen op</vt:lpstr>
      <vt:lpstr>model IVT</vt:lpstr>
      <vt:lpstr>model IT cat 1&amp;2 (2)</vt:lpstr>
      <vt:lpstr>model IT cat 3,4&amp;5 (2)</vt:lpstr>
      <vt:lpstr>bedr &amp; vrijst overzicht (2)</vt:lpstr>
      <vt:lpstr>tabel baremas</vt:lpstr>
      <vt:lpstr>Blad1</vt:lpstr>
      <vt:lpstr>IT inst</vt:lpstr>
      <vt:lpstr>bedrag en vrijstellingen</vt:lpstr>
      <vt:lpstr>berekening!Zone_d_impression</vt:lpstr>
      <vt:lpstr>'model IT cat 1&amp;2 (2)'!Zone_d_impression</vt:lpstr>
      <vt:lpstr>'model IT cat 3,4&amp;5 (2)'!Zone_d_impression</vt:lpstr>
      <vt:lpstr>'model IVT'!Zone_d_impression</vt:lpstr>
    </vt:vector>
  </TitlesOfParts>
  <Manager>versie december 2004</Manager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Berekening IVT/IT op 1/7/2004</dc:title>
  <dc:creator>REYSERHOVE Geert</dc:creator>
  <cp:keywords>tegemoetkoming ivt it 1/7/2004</cp:keywords>
  <dc:description>wachtwoord -&gt; zie am4</dc:description>
  <cp:lastModifiedBy>Havaert Anne</cp:lastModifiedBy>
  <cp:lastPrinted>2005-02-18T11:27:34Z</cp:lastPrinted>
  <dcterms:created xsi:type="dcterms:W3CDTF">2003-05-26T10:52:06Z</dcterms:created>
  <dcterms:modified xsi:type="dcterms:W3CDTF">2021-12-16T07:52:55Z</dcterms:modified>
  <cp:category>berekening tegemoetkoming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